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2086B574-2CFA-4E67-8D2F-5ED194122369}" xr6:coauthVersionLast="47" xr6:coauthVersionMax="47" xr10:uidLastSave="{00000000-0000-0000-0000-000000000000}"/>
  <bookViews>
    <workbookView xWindow="495" yWindow="19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29" i="5"/>
  <c r="BD27" i="5"/>
  <c r="BD32" i="5"/>
  <c r="BD30" i="5"/>
  <c r="AE41" i="5"/>
  <c r="AE39" i="5"/>
  <c r="AE30" i="5"/>
  <c r="AE33" i="5"/>
  <c r="AE31" i="5"/>
  <c r="BD35" i="5"/>
  <c r="BD36" i="5"/>
  <c r="AE40" i="5"/>
  <c r="BD29" i="5"/>
  <c r="AE36" i="5"/>
  <c r="BD33" i="5"/>
  <c r="AE34" i="5"/>
  <c r="AE28" i="5"/>
  <c r="AE32" i="5"/>
  <c r="BD38" i="5"/>
  <c r="AE27" i="5" l="1"/>
  <c r="B40" i="22"/>
  <c r="B62" i="22"/>
  <c r="B63" i="22" s="1"/>
  <c r="B64" i="22"/>
  <c r="B37" i="22"/>
  <c r="B38" i="22" s="1"/>
  <c r="B39" i="22"/>
  <c r="B65" i="22"/>
  <c r="B28" i="5"/>
  <c r="J28" i="5"/>
  <c r="I28" i="5"/>
  <c r="C28" i="5"/>
  <c r="H28" i="5"/>
  <c r="K28" i="5"/>
  <c r="G28" i="5"/>
  <c r="L28" i="5"/>
  <c r="E28" i="5"/>
  <c r="F28" i="5"/>
  <c r="D28" i="5"/>
  <c r="K29" i="5"/>
  <c r="E29" i="5"/>
  <c r="J29" i="5"/>
  <c r="B29" i="5"/>
  <c r="H29" i="5"/>
  <c r="C29" i="5"/>
  <c r="G29" i="5"/>
  <c r="D29" i="5"/>
  <c r="I29" i="5"/>
  <c r="L29" i="5"/>
  <c r="F29" i="5"/>
  <c r="H30" i="5"/>
  <c r="D30" i="5"/>
  <c r="K30" i="5"/>
  <c r="B30" i="5"/>
  <c r="C30" i="5"/>
  <c r="F30" i="5"/>
  <c r="G30" i="5"/>
  <c r="E30" i="5"/>
  <c r="I30" i="5"/>
  <c r="J30" i="5"/>
  <c r="L30" i="5"/>
  <c r="BD37" i="5"/>
  <c r="BD40" i="5"/>
  <c r="J35" i="5"/>
  <c r="H35" i="5"/>
  <c r="L35" i="5"/>
  <c r="C35" i="5"/>
  <c r="E35" i="5"/>
  <c r="B35" i="5"/>
  <c r="G35" i="5"/>
  <c r="F35" i="5"/>
  <c r="K35" i="5"/>
  <c r="I35" i="5"/>
  <c r="D35" i="5"/>
  <c r="AE37" i="5"/>
  <c r="BD31" i="5"/>
  <c r="BD28" i="5"/>
  <c r="B58" i="22"/>
  <c r="B61" i="22"/>
  <c r="B60" i="22"/>
  <c r="B35" i="22"/>
  <c r="B33" i="22"/>
  <c r="B36" i="22"/>
  <c r="J34" i="5"/>
  <c r="C34" i="5"/>
  <c r="K34" i="5"/>
  <c r="L34" i="5"/>
  <c r="G34" i="5"/>
  <c r="E34" i="5"/>
  <c r="B34" i="5"/>
  <c r="F34" i="5"/>
  <c r="I34" i="5"/>
  <c r="H34" i="5"/>
  <c r="D34" i="5"/>
  <c r="BD34" i="5"/>
  <c r="BD41" i="5"/>
  <c r="AE35" i="5"/>
  <c r="B53" i="22"/>
  <c r="B54" i="22" s="1"/>
  <c r="B55" i="22"/>
  <c r="B56" i="22"/>
  <c r="B47" i="22"/>
  <c r="B73" i="22"/>
  <c r="B72" i="22"/>
  <c r="B45" i="22"/>
  <c r="B46" i="22" s="1"/>
  <c r="B70" i="22"/>
  <c r="B71" i="22" s="1"/>
  <c r="B48" i="22"/>
  <c r="H36" i="5"/>
  <c r="B36" i="5"/>
  <c r="C36" i="5"/>
  <c r="I36" i="5"/>
  <c r="L36" i="5"/>
  <c r="G36" i="5"/>
  <c r="J36" i="5"/>
  <c r="K36" i="5"/>
  <c r="D36" i="5"/>
  <c r="F36" i="5"/>
  <c r="E36" i="5"/>
  <c r="AE38" i="5"/>
  <c r="B82" i="22"/>
  <c r="B81" i="22"/>
  <c r="B51" i="22"/>
  <c r="B77" i="22"/>
  <c r="B74" i="22"/>
  <c r="B75" i="22" s="1"/>
  <c r="B52" i="22"/>
  <c r="B49" i="22"/>
  <c r="B50" i="22" s="1"/>
  <c r="B79" i="22"/>
  <c r="B76" i="22"/>
  <c r="B38" i="5"/>
  <c r="D38" i="5"/>
  <c r="I38" i="5"/>
  <c r="F38" i="5"/>
  <c r="L38" i="5"/>
  <c r="G38" i="5"/>
  <c r="E38" i="5"/>
  <c r="J38" i="5"/>
  <c r="C38" i="5"/>
  <c r="H38" i="5"/>
  <c r="K38" i="5"/>
  <c r="D33" i="5"/>
  <c r="C33" i="5"/>
  <c r="I33" i="5"/>
  <c r="G33" i="5"/>
  <c r="K33" i="5"/>
  <c r="J33" i="5"/>
  <c r="L33" i="5"/>
  <c r="H33" i="5"/>
  <c r="F33" i="5"/>
  <c r="B33" i="5"/>
  <c r="E33" i="5"/>
  <c r="H27" i="5"/>
  <c r="I27" i="5"/>
  <c r="E27" i="5"/>
  <c r="F27" i="5"/>
  <c r="K27" i="5"/>
  <c r="D27" i="5"/>
  <c r="C27" i="5"/>
  <c r="G27" i="5"/>
  <c r="L27" i="5"/>
  <c r="B27" i="5"/>
  <c r="J27" i="5"/>
  <c r="E39" i="5"/>
  <c r="B39" i="5"/>
  <c r="C39" i="5"/>
  <c r="L39" i="5"/>
  <c r="D39" i="5"/>
  <c r="F39" i="5"/>
  <c r="K39" i="5"/>
  <c r="I39" i="5"/>
  <c r="G39" i="5"/>
  <c r="J39" i="5"/>
  <c r="H39" i="5"/>
  <c r="G31" i="5"/>
  <c r="C31" i="5"/>
  <c r="K31" i="5"/>
  <c r="E31" i="5"/>
  <c r="I31" i="5"/>
  <c r="F31" i="5"/>
  <c r="H31" i="5"/>
  <c r="D31" i="5"/>
  <c r="J31" i="5"/>
  <c r="L31" i="5"/>
  <c r="B31" i="5"/>
  <c r="BD39" i="5"/>
  <c r="F32" i="5"/>
  <c r="I32" i="5"/>
  <c r="G32" i="5"/>
  <c r="H32" i="5"/>
  <c r="D32" i="5"/>
  <c r="E32" i="5"/>
  <c r="J32" i="5"/>
  <c r="C32" i="5"/>
  <c r="K32" i="5"/>
  <c r="B32" i="5"/>
  <c r="L32" i="5"/>
  <c r="K37" i="5"/>
  <c r="I37" i="5"/>
  <c r="F37" i="5"/>
  <c r="D37" i="5"/>
  <c r="C37" i="5"/>
  <c r="G37" i="5"/>
  <c r="H37" i="5"/>
  <c r="B37" i="5"/>
  <c r="J37" i="5"/>
  <c r="L37" i="5"/>
  <c r="E37" i="5"/>
  <c r="L41" i="5"/>
  <c r="D41" i="5"/>
  <c r="G41" i="5"/>
  <c r="H41" i="5"/>
  <c r="E41" i="5"/>
  <c r="C41" i="5"/>
  <c r="K41" i="5"/>
  <c r="J41" i="5"/>
  <c r="B41" i="5"/>
  <c r="I41" i="5"/>
  <c r="F41" i="5"/>
  <c r="H40" i="5"/>
  <c r="L40" i="5"/>
  <c r="K40" i="5"/>
  <c r="C40" i="5"/>
  <c r="G40" i="5"/>
  <c r="E40" i="5"/>
  <c r="D40" i="5"/>
  <c r="F40" i="5"/>
  <c r="B40" i="5"/>
  <c r="I40" i="5"/>
  <c r="J40" i="5"/>
  <c r="B44" i="22"/>
  <c r="B43" i="22"/>
  <c r="B41" i="22"/>
  <c r="B42" i="22" s="1"/>
  <c r="B66" i="22"/>
  <c r="B67" i="22" s="1"/>
  <c r="B59" i="22" l="1"/>
  <c r="B57" i="22"/>
  <c r="B78" i="22"/>
  <c r="B80" i="22"/>
  <c r="B32" i="22"/>
  <c r="B34" i="22"/>
  <c r="AE56" i="5" l="1"/>
  <c r="AE61" i="5"/>
  <c r="AE43" i="5"/>
  <c r="AE70" i="5"/>
  <c r="AE66" i="5"/>
  <c r="AE84" i="5"/>
  <c r="BD42" i="5"/>
  <c r="AE48" i="5"/>
  <c r="AE46" i="5"/>
  <c r="AE47" i="5"/>
  <c r="BD79" i="5"/>
  <c r="AE52" i="5"/>
  <c r="BD64" i="5"/>
  <c r="AE73" i="5"/>
  <c r="AE55" i="5"/>
  <c r="AE62" i="5"/>
  <c r="AE78" i="5"/>
  <c r="AE76" i="5"/>
  <c r="AE60" i="5"/>
  <c r="AE75" i="5"/>
  <c r="AE86" i="5"/>
  <c r="BD81" i="5"/>
  <c r="AE50" i="5"/>
  <c r="AE51" i="5"/>
  <c r="AE54" i="5"/>
  <c r="AE65" i="5"/>
  <c r="AE68" i="5"/>
  <c r="AE59" i="5"/>
  <c r="AE85" i="5"/>
  <c r="AE69" i="5"/>
  <c r="BD66" i="5"/>
  <c r="BD69" i="5"/>
  <c r="BD59" i="5"/>
  <c r="AE45" i="5"/>
  <c r="BD75" i="5"/>
  <c r="BD50" i="5"/>
  <c r="BD55" i="5"/>
  <c r="BD73" i="5"/>
  <c r="AE57" i="5"/>
  <c r="AE72" i="5"/>
  <c r="AE83" i="5"/>
  <c r="K51" i="5" l="1"/>
  <c r="B51" i="5"/>
  <c r="F51" i="5"/>
  <c r="I51" i="5"/>
  <c r="C51" i="5"/>
  <c r="H51" i="5"/>
  <c r="L51" i="5"/>
  <c r="D51" i="5"/>
  <c r="G51" i="5"/>
  <c r="J51" i="5"/>
  <c r="E51" i="5"/>
  <c r="BD57" i="5"/>
  <c r="AX26" i="5"/>
  <c r="BD65" i="5"/>
  <c r="BD51" i="5"/>
  <c r="BD45" i="5"/>
  <c r="BD53" i="5"/>
  <c r="P26" i="5"/>
  <c r="H77" i="5"/>
  <c r="B77" i="5"/>
  <c r="J77" i="5"/>
  <c r="F77" i="5"/>
  <c r="L77" i="5"/>
  <c r="G77" i="5"/>
  <c r="E77" i="5"/>
  <c r="C77" i="5"/>
  <c r="K77" i="5"/>
  <c r="I77" i="5"/>
  <c r="D77" i="5"/>
  <c r="C66" i="5"/>
  <c r="L66" i="5"/>
  <c r="H66" i="5"/>
  <c r="F66" i="5"/>
  <c r="G66" i="5"/>
  <c r="E66" i="5"/>
  <c r="K66" i="5"/>
  <c r="B66" i="5"/>
  <c r="J66" i="5"/>
  <c r="I66" i="5"/>
  <c r="D66" i="5"/>
  <c r="BD60" i="5"/>
  <c r="K69" i="5"/>
  <c r="G69" i="5"/>
  <c r="D69" i="5"/>
  <c r="L69" i="5"/>
  <c r="B69" i="5"/>
  <c r="J69" i="5"/>
  <c r="F69" i="5"/>
  <c r="C69" i="5"/>
  <c r="I69" i="5"/>
  <c r="H69" i="5"/>
  <c r="E69" i="5"/>
  <c r="C57" i="5"/>
  <c r="K57" i="5"/>
  <c r="E57" i="5"/>
  <c r="F57" i="5"/>
  <c r="J57" i="5"/>
  <c r="D57" i="5"/>
  <c r="B57" i="5"/>
  <c r="H57" i="5"/>
  <c r="G57" i="5"/>
  <c r="I57" i="5"/>
  <c r="L57" i="5"/>
  <c r="B67" i="5"/>
  <c r="L67" i="5"/>
  <c r="D67" i="5"/>
  <c r="H67" i="5"/>
  <c r="E67" i="5"/>
  <c r="G67" i="5"/>
  <c r="F67" i="5"/>
  <c r="K67" i="5"/>
  <c r="C67" i="5"/>
  <c r="I67" i="5"/>
  <c r="J67" i="5"/>
  <c r="AE63" i="5"/>
  <c r="BD83" i="5"/>
  <c r="H42" i="5"/>
  <c r="I42" i="5"/>
  <c r="D42" i="5"/>
  <c r="F42" i="5"/>
  <c r="L42" i="5"/>
  <c r="E42" i="5"/>
  <c r="J42" i="5"/>
  <c r="G42" i="5"/>
  <c r="C42" i="5"/>
  <c r="B42" i="5"/>
  <c r="K42" i="5"/>
  <c r="AB26" i="5"/>
  <c r="B29" i="22" s="1"/>
  <c r="AE58" i="5"/>
  <c r="BD86" i="5"/>
  <c r="AE71" i="5"/>
  <c r="H79" i="5"/>
  <c r="D79" i="5"/>
  <c r="E79" i="5"/>
  <c r="I79" i="5"/>
  <c r="L79" i="5"/>
  <c r="G79" i="5"/>
  <c r="B79" i="5"/>
  <c r="K79" i="5"/>
  <c r="J79" i="5"/>
  <c r="C79" i="5"/>
  <c r="F79" i="5"/>
  <c r="BD44" i="5"/>
  <c r="BD68" i="5"/>
  <c r="H59" i="5"/>
  <c r="K59" i="5"/>
  <c r="B59" i="5"/>
  <c r="E59" i="5"/>
  <c r="G59" i="5"/>
  <c r="L59" i="5"/>
  <c r="C59" i="5"/>
  <c r="J59" i="5"/>
  <c r="I59" i="5"/>
  <c r="D59" i="5"/>
  <c r="F59" i="5"/>
  <c r="AE42" i="5"/>
  <c r="AD26" i="5"/>
  <c r="B30" i="22" s="1"/>
  <c r="AE77" i="5"/>
  <c r="BD62" i="5"/>
  <c r="R26" i="5"/>
  <c r="H68" i="5"/>
  <c r="C68" i="5"/>
  <c r="L68" i="5"/>
  <c r="G68" i="5"/>
  <c r="F68" i="5"/>
  <c r="B68" i="5"/>
  <c r="E68" i="5"/>
  <c r="D68" i="5"/>
  <c r="K68" i="5"/>
  <c r="J68" i="5"/>
  <c r="I68" i="5"/>
  <c r="BD58" i="5"/>
  <c r="J52" i="5"/>
  <c r="K52" i="5"/>
  <c r="C52" i="5"/>
  <c r="D52" i="5"/>
  <c r="L52" i="5"/>
  <c r="I52" i="5"/>
  <c r="B52" i="5"/>
  <c r="G52" i="5"/>
  <c r="F52" i="5"/>
  <c r="H52" i="5"/>
  <c r="E52" i="5"/>
  <c r="AE74" i="5"/>
  <c r="AE53" i="5"/>
  <c r="L72" i="5"/>
  <c r="E72" i="5"/>
  <c r="H72" i="5"/>
  <c r="I72" i="5"/>
  <c r="B72" i="5"/>
  <c r="G72" i="5"/>
  <c r="C72" i="5"/>
  <c r="F72" i="5"/>
  <c r="J72" i="5"/>
  <c r="D72" i="5"/>
  <c r="K72" i="5"/>
  <c r="H71" i="5"/>
  <c r="G71" i="5"/>
  <c r="I71" i="5"/>
  <c r="L71" i="5"/>
  <c r="E71" i="5"/>
  <c r="F71" i="5"/>
  <c r="B71" i="5"/>
  <c r="C71" i="5"/>
  <c r="D71" i="5"/>
  <c r="K71" i="5"/>
  <c r="J71" i="5"/>
  <c r="BD43" i="5"/>
  <c r="BD56" i="5"/>
  <c r="BD63" i="5"/>
  <c r="AE67" i="5"/>
  <c r="K83" i="5"/>
  <c r="E83" i="5"/>
  <c r="G83" i="5"/>
  <c r="C83" i="5"/>
  <c r="B83" i="5"/>
  <c r="F83" i="5"/>
  <c r="D83" i="5"/>
  <c r="I83" i="5"/>
  <c r="L83" i="5"/>
  <c r="J83" i="5"/>
  <c r="H83" i="5"/>
  <c r="BD54" i="5"/>
  <c r="BD82" i="5"/>
  <c r="K63" i="5"/>
  <c r="J63" i="5"/>
  <c r="D63" i="5"/>
  <c r="E63" i="5"/>
  <c r="I63" i="5"/>
  <c r="C63" i="5"/>
  <c r="H63" i="5"/>
  <c r="F63" i="5"/>
  <c r="L63" i="5"/>
  <c r="B63" i="5"/>
  <c r="G63" i="5"/>
  <c r="BD48" i="5"/>
  <c r="D50" i="5"/>
  <c r="J50" i="5"/>
  <c r="B50" i="5"/>
  <c r="F50" i="5"/>
  <c r="H50" i="5"/>
  <c r="G50" i="5"/>
  <c r="K50" i="5"/>
  <c r="C50" i="5"/>
  <c r="I50" i="5"/>
  <c r="E50" i="5"/>
  <c r="L50" i="5"/>
  <c r="AE82" i="5"/>
  <c r="BD72" i="5"/>
  <c r="K80" i="5"/>
  <c r="G80" i="5"/>
  <c r="J80" i="5"/>
  <c r="E80" i="5"/>
  <c r="C80" i="5"/>
  <c r="H80" i="5"/>
  <c r="B80" i="5"/>
  <c r="L80" i="5"/>
  <c r="D80" i="5"/>
  <c r="F80" i="5"/>
  <c r="I80" i="5"/>
  <c r="BD76" i="5"/>
  <c r="AE79" i="5"/>
  <c r="AE80" i="5"/>
  <c r="C70" i="5"/>
  <c r="H70" i="5"/>
  <c r="I70" i="5"/>
  <c r="F70" i="5"/>
  <c r="D70" i="5"/>
  <c r="B70" i="5"/>
  <c r="G70" i="5"/>
  <c r="J70" i="5"/>
  <c r="E70" i="5"/>
  <c r="K70" i="5"/>
  <c r="L70" i="5"/>
  <c r="J47" i="5"/>
  <c r="B47" i="5"/>
  <c r="F47" i="5"/>
  <c r="D47" i="5"/>
  <c r="C47" i="5"/>
  <c r="L47" i="5"/>
  <c r="H47" i="5"/>
  <c r="K47" i="5"/>
  <c r="I47" i="5"/>
  <c r="G47" i="5"/>
  <c r="E47" i="5"/>
  <c r="C53" i="5"/>
  <c r="H53" i="5"/>
  <c r="I53" i="5"/>
  <c r="B53" i="5"/>
  <c r="E53" i="5"/>
  <c r="G53" i="5"/>
  <c r="K53" i="5"/>
  <c r="F53" i="5"/>
  <c r="L53" i="5"/>
  <c r="J53" i="5"/>
  <c r="D53" i="5"/>
  <c r="BD61" i="5"/>
  <c r="L74" i="5"/>
  <c r="F74" i="5"/>
  <c r="B74" i="5"/>
  <c r="E74" i="5"/>
  <c r="J74" i="5"/>
  <c r="G74" i="5"/>
  <c r="C74" i="5"/>
  <c r="I74" i="5"/>
  <c r="K74" i="5"/>
  <c r="H74" i="5"/>
  <c r="D74" i="5"/>
  <c r="BD80" i="5"/>
  <c r="B87" i="22"/>
  <c r="B85" i="22"/>
  <c r="B86" i="22"/>
  <c r="B103" i="22" s="1"/>
  <c r="B104" i="22" s="1"/>
  <c r="B105" i="22" s="1"/>
  <c r="BD46" i="5"/>
  <c r="C45" i="5"/>
  <c r="K45" i="5"/>
  <c r="J45" i="5"/>
  <c r="L45" i="5"/>
  <c r="G45" i="5"/>
  <c r="B45" i="5"/>
  <c r="I45" i="5"/>
  <c r="F45" i="5"/>
  <c r="D45" i="5"/>
  <c r="E45" i="5"/>
  <c r="H45" i="5"/>
  <c r="AY26" i="5"/>
  <c r="BD52" i="5"/>
  <c r="F78" i="5"/>
  <c r="D78" i="5"/>
  <c r="E78" i="5"/>
  <c r="B78" i="5"/>
  <c r="G78" i="5"/>
  <c r="H78" i="5"/>
  <c r="J78" i="5"/>
  <c r="K78" i="5"/>
  <c r="I78" i="5"/>
  <c r="C78" i="5"/>
  <c r="L78" i="5"/>
  <c r="B54" i="5"/>
  <c r="D54" i="5"/>
  <c r="K54" i="5"/>
  <c r="E54" i="5"/>
  <c r="F54" i="5"/>
  <c r="I54" i="5"/>
  <c r="H54" i="5"/>
  <c r="L54" i="5"/>
  <c r="C54" i="5"/>
  <c r="G54" i="5"/>
  <c r="J54" i="5"/>
  <c r="K55" i="5"/>
  <c r="I55" i="5"/>
  <c r="J55" i="5"/>
  <c r="C55" i="5"/>
  <c r="D55" i="5"/>
  <c r="H55" i="5"/>
  <c r="G55" i="5"/>
  <c r="E55" i="5"/>
  <c r="L55" i="5"/>
  <c r="F55" i="5"/>
  <c r="B55" i="5"/>
  <c r="J82" i="5"/>
  <c r="F82" i="5"/>
  <c r="K82" i="5"/>
  <c r="C82" i="5"/>
  <c r="E82" i="5"/>
  <c r="I82" i="5"/>
  <c r="H82" i="5"/>
  <c r="D82" i="5"/>
  <c r="B82" i="5"/>
  <c r="L82" i="5"/>
  <c r="G82" i="5"/>
  <c r="BD47" i="5"/>
  <c r="B92" i="22" s="1"/>
  <c r="AE64" i="5"/>
  <c r="AE44" i="5"/>
  <c r="BD77" i="5"/>
  <c r="BD67" i="5"/>
  <c r="H64" i="5"/>
  <c r="C64" i="5"/>
  <c r="F64" i="5"/>
  <c r="G64" i="5"/>
  <c r="D64" i="5"/>
  <c r="E64" i="5"/>
  <c r="B64" i="5"/>
  <c r="K64" i="5"/>
  <c r="J64" i="5"/>
  <c r="L64" i="5"/>
  <c r="I64" i="5"/>
  <c r="H49" i="5"/>
  <c r="L49" i="5"/>
  <c r="I49" i="5"/>
  <c r="D49" i="5"/>
  <c r="B49" i="5"/>
  <c r="K49" i="5"/>
  <c r="F49" i="5"/>
  <c r="E49" i="5"/>
  <c r="C49" i="5"/>
  <c r="G49" i="5"/>
  <c r="J49" i="5"/>
  <c r="D86" i="5"/>
  <c r="J86" i="5"/>
  <c r="B86" i="5"/>
  <c r="I86" i="5"/>
  <c r="F86" i="5"/>
  <c r="C86" i="5"/>
  <c r="K86" i="5"/>
  <c r="H86" i="5"/>
  <c r="L86" i="5"/>
  <c r="E86" i="5"/>
  <c r="G86" i="5"/>
  <c r="L60" i="5"/>
  <c r="G60" i="5"/>
  <c r="E60" i="5"/>
  <c r="H60" i="5"/>
  <c r="C60" i="5"/>
  <c r="B60" i="5"/>
  <c r="K60" i="5"/>
  <c r="F60" i="5"/>
  <c r="D60" i="5"/>
  <c r="J60" i="5"/>
  <c r="I60" i="5"/>
  <c r="BD84" i="5"/>
  <c r="D56" i="5"/>
  <c r="B56" i="5"/>
  <c r="J56" i="5"/>
  <c r="C56" i="5"/>
  <c r="F56" i="5"/>
  <c r="I56" i="5"/>
  <c r="G56" i="5"/>
  <c r="L56" i="5"/>
  <c r="E56" i="5"/>
  <c r="K56" i="5"/>
  <c r="H56" i="5"/>
  <c r="BD74" i="5"/>
  <c r="BD49" i="5"/>
  <c r="H65" i="5"/>
  <c r="D65" i="5"/>
  <c r="K65" i="5"/>
  <c r="C65" i="5"/>
  <c r="G65" i="5"/>
  <c r="F65" i="5"/>
  <c r="J65" i="5"/>
  <c r="B65" i="5"/>
  <c r="E65" i="5"/>
  <c r="L65" i="5"/>
  <c r="I65" i="5"/>
  <c r="BD70" i="5"/>
  <c r="AE49" i="5"/>
  <c r="AE81" i="5"/>
  <c r="J61" i="5"/>
  <c r="E61" i="5"/>
  <c r="I61" i="5"/>
  <c r="K61" i="5"/>
  <c r="D61" i="5"/>
  <c r="L61" i="5"/>
  <c r="F61" i="5"/>
  <c r="G61" i="5"/>
  <c r="C61" i="5"/>
  <c r="H61" i="5"/>
  <c r="B61" i="5"/>
  <c r="F48" i="5"/>
  <c r="L48" i="5"/>
  <c r="H48" i="5"/>
  <c r="G48" i="5"/>
  <c r="K48" i="5"/>
  <c r="D48" i="5"/>
  <c r="E48" i="5"/>
  <c r="C48" i="5"/>
  <c r="B48" i="5"/>
  <c r="J48" i="5"/>
  <c r="I48" i="5"/>
  <c r="BD71" i="5"/>
  <c r="F81" i="5"/>
  <c r="L81" i="5"/>
  <c r="E81" i="5"/>
  <c r="C81" i="5"/>
  <c r="J81" i="5"/>
  <c r="H81" i="5"/>
  <c r="K81" i="5"/>
  <c r="D81" i="5"/>
  <c r="I81" i="5"/>
  <c r="B81" i="5"/>
  <c r="G81" i="5"/>
  <c r="L85" i="5"/>
  <c r="G85" i="5"/>
  <c r="H85" i="5"/>
  <c r="J85" i="5"/>
  <c r="E85" i="5"/>
  <c r="I85" i="5"/>
  <c r="C85" i="5"/>
  <c r="B85" i="5"/>
  <c r="F85" i="5"/>
  <c r="D85" i="5"/>
  <c r="K85" i="5"/>
  <c r="J76" i="5"/>
  <c r="B76" i="5"/>
  <c r="G76" i="5"/>
  <c r="K76" i="5"/>
  <c r="H76" i="5"/>
  <c r="C76" i="5"/>
  <c r="D76" i="5"/>
  <c r="I76" i="5"/>
  <c r="L76" i="5"/>
  <c r="F76" i="5"/>
  <c r="E76" i="5"/>
  <c r="L75" i="5"/>
  <c r="G75" i="5"/>
  <c r="C75" i="5"/>
  <c r="E75" i="5"/>
  <c r="B75" i="5"/>
  <c r="F75" i="5"/>
  <c r="K75" i="5"/>
  <c r="J75" i="5"/>
  <c r="H75" i="5"/>
  <c r="I75" i="5"/>
  <c r="D75" i="5"/>
  <c r="L62" i="5"/>
  <c r="I62" i="5"/>
  <c r="K62" i="5"/>
  <c r="G62" i="5"/>
  <c r="E62" i="5"/>
  <c r="C62" i="5"/>
  <c r="D62" i="5"/>
  <c r="B62" i="5"/>
  <c r="H62" i="5"/>
  <c r="F62" i="5"/>
  <c r="J62" i="5"/>
  <c r="E73" i="5"/>
  <c r="L73" i="5"/>
  <c r="D73" i="5"/>
  <c r="J73" i="5"/>
  <c r="G73" i="5"/>
  <c r="H73" i="5"/>
  <c r="C73" i="5"/>
  <c r="I73" i="5"/>
  <c r="B73" i="5"/>
  <c r="K73" i="5"/>
  <c r="F73" i="5"/>
  <c r="BD85" i="5"/>
  <c r="L46" i="5"/>
  <c r="D46" i="5"/>
  <c r="G46" i="5"/>
  <c r="B46" i="5"/>
  <c r="E46" i="5"/>
  <c r="C46" i="5"/>
  <c r="F46" i="5"/>
  <c r="H46" i="5"/>
  <c r="J46" i="5"/>
  <c r="K46" i="5"/>
  <c r="I46" i="5"/>
  <c r="F84" i="5"/>
  <c r="G84" i="5"/>
  <c r="C84" i="5"/>
  <c r="H84" i="5"/>
  <c r="B84" i="5"/>
  <c r="I84" i="5"/>
  <c r="J84" i="5"/>
  <c r="E84" i="5"/>
  <c r="L84" i="5"/>
  <c r="K84" i="5"/>
  <c r="D84" i="5"/>
  <c r="E44" i="5"/>
  <c r="K44" i="5"/>
  <c r="L44" i="5"/>
  <c r="I44" i="5"/>
  <c r="C44" i="5"/>
  <c r="D44" i="5"/>
  <c r="H44" i="5"/>
  <c r="J44" i="5"/>
  <c r="G44" i="5"/>
  <c r="B44" i="5"/>
  <c r="F44" i="5"/>
  <c r="BD78" i="5"/>
  <c r="H43" i="5"/>
  <c r="C43" i="5"/>
  <c r="K43" i="5"/>
  <c r="F43" i="5"/>
  <c r="G43" i="5"/>
  <c r="D43" i="5"/>
  <c r="E43" i="5"/>
  <c r="L43" i="5"/>
  <c r="J43" i="5"/>
  <c r="B43" i="5"/>
  <c r="I43" i="5"/>
  <c r="L58" i="5"/>
  <c r="E58" i="5"/>
  <c r="D58" i="5"/>
  <c r="K58" i="5"/>
  <c r="B58" i="5"/>
  <c r="G58" i="5"/>
  <c r="I58" i="5"/>
  <c r="J58" i="5"/>
  <c r="C58" i="5"/>
  <c r="H58" i="5"/>
  <c r="F58" i="5"/>
  <c r="AE26" i="5" l="1"/>
  <c r="E12" i="14" l="1"/>
  <c r="A13" i="13"/>
  <c r="A12" i="16"/>
  <c r="A12" i="5"/>
  <c r="A12" i="22"/>
  <c r="A12" i="6"/>
  <c r="A11" i="17"/>
  <c r="A12" i="19"/>
  <c r="A11" i="12"/>
  <c r="A11" i="15"/>
  <c r="A12" i="10"/>
  <c r="R27" i="15" l="1"/>
  <c r="R24" i="15" s="1"/>
  <c r="AF62" i="15"/>
  <c r="AA62" i="15"/>
  <c r="W62" i="15"/>
  <c r="S62" i="15"/>
  <c r="V27" i="15"/>
  <c r="V24" i="15" s="1"/>
  <c r="Z27" i="15"/>
  <c r="Z24" i="15" s="1"/>
  <c r="N26" i="16"/>
  <c r="N33" i="16"/>
  <c r="N40" i="16"/>
  <c r="N29" i="16"/>
  <c r="N31" i="16"/>
  <c r="N53" i="16"/>
  <c r="N43" i="16"/>
  <c r="N30" i="16"/>
  <c r="N41" i="16"/>
  <c r="N48" i="16"/>
  <c r="N27" i="16"/>
  <c r="N46" i="16"/>
  <c r="N28" i="16"/>
  <c r="N25" i="16"/>
  <c r="N34" i="16"/>
  <c r="N49" i="16"/>
  <c r="N45" i="16"/>
  <c r="N35" i="16"/>
  <c r="N54" i="16"/>
  <c r="N36" i="16"/>
  <c r="N38" i="16"/>
  <c r="N37" i="16"/>
  <c r="N39" i="16"/>
  <c r="N44" i="16"/>
  <c r="N42" i="16"/>
  <c r="N47" i="16"/>
  <c r="N50" i="16"/>
  <c r="N51" i="16"/>
  <c r="N52" i="16"/>
  <c r="N32" i="16"/>
  <c r="AE27" i="15" l="1"/>
  <c r="AE24" i="15" s="1"/>
  <c r="O62" i="15"/>
  <c r="F62" i="15"/>
  <c r="F29" i="15"/>
  <c r="F30" i="15"/>
  <c r="F33" i="15"/>
  <c r="F31" i="15"/>
  <c r="E62" i="15"/>
  <c r="K62" i="15"/>
  <c r="AC62" i="15"/>
  <c r="D24" i="15"/>
  <c r="D34" i="15"/>
  <c r="B91" i="22" s="1"/>
  <c r="B90" i="22" s="1"/>
  <c r="F28" i="15" l="1"/>
  <c r="N27" i="15"/>
  <c r="G34" i="15"/>
  <c r="E33" i="15"/>
  <c r="AC33" i="15"/>
  <c r="E29" i="15" l="1"/>
  <c r="AC29" i="15"/>
  <c r="AC28" i="15"/>
  <c r="E28" i="15"/>
  <c r="J27" i="15"/>
  <c r="E31" i="15"/>
  <c r="AC31" i="15"/>
  <c r="AC30" i="15"/>
  <c r="E30" i="15"/>
  <c r="F27" i="15"/>
  <c r="N24" i="15"/>
  <c r="F24" i="15" s="1"/>
  <c r="E27" i="15" l="1"/>
  <c r="J24" i="15"/>
  <c r="AC27" i="15"/>
  <c r="E24" i="15" l="1"/>
  <c r="B89" i="22" s="1"/>
  <c r="AC24" i="15"/>
  <c r="C48" i="7" s="1"/>
</calcChain>
</file>

<file path=xl/sharedStrings.xml><?xml version="1.0" encoding="utf-8"?>
<sst xmlns="http://schemas.openxmlformats.org/spreadsheetml/2006/main" count="4477" uniqueCount="572">
  <si>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</si>
  <si>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</si>
  <si>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</si>
  <si>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</si>
  <si>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</si>
  <si>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</si>
  <si>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</si>
  <si>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</si>
  <si>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</si>
  <si>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</si>
  <si>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</si>
  <si>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</si>
  <si>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</si>
  <si>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</si>
  <si>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</si>
  <si>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</si>
  <si>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</si>
  <si>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</si>
  <si>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</si>
  <si>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</si>
  <si>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</si>
  <si>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</si>
  <si>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</si>
  <si>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</si>
  <si>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</si>
  <si>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</si>
  <si>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</si>
  <si>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</si>
  <si>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</si>
  <si>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</si>
  <si>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</si>
  <si>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</si>
  <si>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</si>
  <si>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</si>
  <si>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</si>
  <si>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</si>
  <si>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</si>
  <si>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</si>
  <si>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</si>
  <si>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</si>
  <si>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</si>
  <si>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</si>
  <si>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</si>
  <si>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</si>
  <si>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</si>
  <si>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</si>
  <si>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</si>
  <si>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</si>
  <si>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</si>
  <si>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</si>
  <si>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</si>
  <si>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</si>
  <si>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</si>
  <si>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</si>
  <si>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</si>
  <si>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</si>
  <si>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</si>
  <si>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</si>
  <si>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</si>
  <si>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</si>
  <si>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</si>
  <si>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</si>
  <si>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</si>
  <si>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</si>
  <si>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</si>
  <si>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</si>
  <si>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</si>
  <si>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</si>
  <si>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</si>
  <si>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</si>
  <si>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</si>
  <si>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</si>
  <si>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</si>
  <si>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</si>
  <si>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</si>
  <si>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</si>
  <si>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</si>
  <si>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</si>
  <si>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</si>
  <si>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</si>
  <si>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</si>
  <si>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</si>
  <si>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</si>
  <si>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</si>
  <si>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</si>
  <si>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</si>
  <si>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</si>
  <si>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</si>
  <si>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</si>
  <si>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</si>
  <si>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</si>
  <si>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</si>
  <si>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</si>
  <si>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</si>
  <si>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</si>
  <si>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</si>
  <si>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</si>
  <si>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</si>
  <si>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</si>
  <si>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</si>
  <si>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</si>
  <si>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</si>
  <si>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</si>
  <si>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</si>
  <si>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</si>
  <si>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</si>
  <si>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</si>
  <si>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</si>
  <si>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</si>
  <si>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</si>
  <si>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</si>
  <si>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</si>
  <si>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</si>
  <si>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</si>
  <si>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</si>
  <si>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</si>
  <si>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</si>
  <si>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</si>
  <si>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</si>
  <si>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</si>
  <si>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</si>
  <si>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</si>
  <si>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</si>
  <si>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</si>
  <si>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</si>
  <si>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</si>
  <si>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</si>
  <si>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</si>
  <si>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</si>
  <si>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</si>
  <si>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</si>
  <si>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</si>
  <si>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</si>
  <si>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</si>
  <si>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</si>
  <si>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</si>
  <si>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</si>
  <si>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</si>
  <si>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</si>
  <si>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</si>
  <si>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</si>
  <si>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</si>
  <si>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</si>
  <si>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</si>
  <si>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</si>
  <si>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</si>
  <si>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</si>
  <si>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</si>
  <si>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</si>
  <si>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</si>
  <si>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</si>
  <si>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</si>
  <si>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</si>
  <si>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</si>
  <si>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</si>
  <si>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</si>
  <si>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</si>
  <si>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</si>
  <si>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</si>
  <si>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</si>
  <si>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</si>
  <si>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</si>
  <si>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</si>
  <si>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</si>
  <si>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</si>
  <si>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</si>
  <si>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</si>
  <si>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</si>
  <si>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</si>
  <si>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</si>
  <si>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</si>
  <si>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</si>
  <si>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</si>
  <si>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</si>
  <si>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</si>
  <si>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</si>
  <si>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</si>
  <si>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</si>
  <si>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</si>
  <si>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</si>
  <si>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</si>
  <si>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</si>
  <si>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</si>
  <si>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</si>
  <si>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</si>
  <si>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</si>
  <si>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</si>
  <si>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</si>
  <si>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</si>
  <si>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</si>
  <si>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</si>
  <si>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</si>
  <si>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</si>
  <si>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</si>
  <si>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</si>
  <si>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</si>
  <si>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</si>
  <si>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</si>
  <si>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</si>
  <si>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</si>
  <si>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</si>
  <si>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</si>
  <si>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</si>
  <si>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</si>
  <si>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</si>
  <si>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</si>
  <si>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</si>
  <si>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</si>
  <si>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</si>
  <si>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</si>
  <si>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</si>
  <si>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</si>
  <si>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</si>
  <si>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</si>
  <si>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</si>
  <si>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</si>
  <si>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</si>
  <si>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</si>
  <si>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</si>
  <si>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</si>
  <si>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</si>
  <si>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</si>
  <si>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</si>
  <si>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</si>
  <si>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</si>
  <si>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</si>
  <si>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</si>
  <si>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</si>
  <si>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</si>
  <si>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</si>
  <si>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</si>
  <si>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</si>
  <si>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</si>
  <si>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</si>
  <si>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</si>
  <si>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</si>
  <si>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</si>
  <si>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</si>
  <si>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</si>
  <si>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</si>
  <si>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</si>
  <si>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</si>
  <si>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</si>
  <si>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</si>
  <si>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</si>
  <si>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</si>
  <si>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</si>
  <si>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</si>
  <si>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</si>
  <si>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</si>
  <si>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</si>
  <si>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</si>
  <si>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</si>
  <si>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</si>
  <si>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</si>
  <si>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</si>
  <si>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</si>
  <si>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</si>
  <si>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</si>
  <si>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</si>
  <si>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</si>
  <si>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</si>
  <si>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</si>
  <si>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</si>
  <si>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</si>
  <si>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</si>
  <si>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</si>
  <si>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</si>
  <si>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</si>
  <si>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</si>
  <si>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</si>
  <si>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</si>
  <si>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</si>
  <si>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</si>
  <si>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</si>
  <si>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</si>
  <si>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</si>
  <si>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</si>
  <si>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</si>
  <si>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</si>
  <si>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</si>
  <si>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</si>
  <si>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</si>
  <si>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</si>
  <si>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</si>
  <si>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</si>
  <si>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</si>
  <si>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</si>
  <si>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</si>
  <si>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</si>
  <si>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</si>
  <si>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</si>
  <si>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</si>
  <si>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</si>
  <si>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</si>
  <si>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</si>
  <si>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</si>
  <si>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</si>
  <si>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</si>
  <si>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</si>
  <si>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</si>
  <si>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</si>
  <si>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</si>
  <si>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</si>
  <si>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</si>
  <si>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</si>
  <si>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</si>
  <si>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</si>
  <si>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</si>
  <si>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</si>
  <si>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</si>
  <si>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</si>
  <si>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</si>
  <si>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</si>
  <si>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</si>
  <si>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</si>
  <si>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</si>
  <si>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</si>
  <si>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</si>
  <si>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</si>
  <si>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</si>
  <si>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</si>
  <si>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</si>
  <si>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</si>
  <si>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</si>
  <si>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</si>
  <si>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</si>
  <si>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</si>
  <si>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</si>
  <si>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</si>
  <si>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</si>
  <si>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</si>
  <si>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</si>
  <si>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</si>
  <si>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</si>
  <si>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</si>
  <si>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</si>
  <si>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</si>
  <si>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</si>
  <si>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</si>
  <si>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</si>
  <si>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</si>
  <si>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</si>
  <si>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</si>
  <si>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</si>
  <si>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</si>
  <si>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</si>
  <si>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</si>
  <si>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</si>
  <si>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</si>
  <si>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</si>
  <si>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</si>
  <si>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</si>
  <si>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</si>
  <si>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</si>
  <si>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</si>
  <si>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</si>
  <si>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</si>
  <si>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</si>
  <si>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</si>
  <si>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</si>
  <si>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</si>
  <si>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</si>
  <si>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</si>
  <si>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</si>
  <si>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</si>
  <si>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</si>
  <si>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</si>
  <si>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</si>
  <si>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</si>
  <si>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</si>
  <si>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</si>
  <si>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</si>
  <si>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</si>
  <si>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</si>
  <si>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</si>
  <si>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</si>
  <si>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</si>
  <si>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</si>
  <si>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</si>
  <si>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</si>
  <si>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</si>
  <si>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</si>
  <si>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</si>
  <si>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</si>
  <si>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</si>
  <si>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</si>
  <si>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</si>
  <si>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</si>
  <si>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</si>
  <si>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</si>
  <si>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</si>
  <si>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</si>
  <si>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</si>
  <si>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</si>
  <si>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</si>
  <si>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</si>
  <si>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</si>
  <si>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</si>
  <si>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</si>
  <si>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</si>
  <si>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</si>
  <si>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</si>
  <si>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</si>
  <si>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</si>
  <si>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</si>
  <si>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</si>
  <si>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</si>
  <si>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</si>
  <si>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</si>
  <si>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</si>
  <si>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</si>
  <si>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</si>
  <si>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</si>
  <si>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</si>
  <si>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</si>
  <si>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</si>
  <si>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</si>
  <si>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</si>
  <si>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</si>
  <si>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</si>
  <si>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</si>
  <si>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</si>
  <si>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</si>
  <si>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</si>
  <si>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</si>
  <si>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</si>
  <si>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</si>
  <si>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</si>
  <si>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</si>
  <si>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</si>
  <si>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</si>
  <si>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</si>
  <si>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</si>
  <si>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</si>
  <si>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</si>
  <si>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</si>
  <si>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</si>
  <si>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</si>
  <si>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</si>
  <si>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</si>
  <si>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</si>
  <si>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</si>
  <si>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</si>
  <si>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</si>
  <si>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</si>
  <si>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</si>
  <si>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</si>
  <si>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</si>
  <si>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</si>
  <si>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</si>
  <si>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</si>
  <si>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</si>
  <si>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</si>
  <si>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</si>
  <si>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</si>
  <si>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</si>
  <si>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</si>
  <si>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</si>
  <si>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</si>
  <si>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</si>
  <si>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</si>
  <si>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</si>
  <si>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</si>
  <si>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</si>
  <si>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</si>
  <si>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</si>
  <si>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</si>
  <si>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</si>
  <si>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</si>
  <si>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</si>
  <si>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</si>
  <si>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</si>
  <si>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</si>
  <si>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</si>
  <si>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</si>
  <si>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</si>
  <si>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</si>
  <si>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</si>
  <si>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</si>
  <si>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</si>
  <si>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</si>
  <si>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</si>
  <si>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</si>
  <si>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</si>
  <si>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</si>
  <si>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</si>
  <si>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</si>
  <si>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</si>
  <si>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</si>
  <si>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</si>
  <si>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</si>
  <si>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</si>
  <si>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</si>
  <si>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</si>
  <si>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</si>
  <si>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</si>
  <si>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</si>
  <si>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</si>
  <si>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</si>
  <si>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</si>
  <si>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</si>
  <si>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</si>
  <si>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</si>
  <si>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</si>
  <si>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</si>
  <si>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</si>
  <si>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</si>
  <si>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</si>
  <si>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</si>
  <si>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работ хозяйственным способом при полном завершении проекта</t>
  </si>
  <si>
    <t>ТМЦ</t>
  </si>
  <si>
    <t>Поставка коробки испытательной</t>
  </si>
  <si>
    <t>АО "Электромагистраль"</t>
  </si>
  <si>
    <t>Регламент определения начальной (максимальной) цены договора на закупку товаров (работ, услуг) АО "Электромагистраль"</t>
  </si>
  <si>
    <t>Сравнение цен</t>
  </si>
  <si>
    <t>АО "ЧИП и ДИП";
ООО "ПЛЕЯДА";
ООО "ТД"Электротехмонтаж"</t>
  </si>
  <si>
    <t>0,3;
0,49667;
0,63617</t>
  </si>
  <si>
    <t>-</t>
  </si>
  <si>
    <t>АО "ЧИП и ДИП"</t>
  </si>
  <si>
    <t>нет</t>
  </si>
  <si>
    <t>5.6.10</t>
  </si>
  <si>
    <t>Руководитель инициатора закупки</t>
  </si>
  <si>
    <t>86</t>
  </si>
  <si>
    <t>ПД</t>
  </si>
  <si>
    <t>счет №13874112 от 04.09.2024</t>
  </si>
  <si>
    <t>Поставка силового кабеля</t>
  </si>
  <si>
    <t>АО "ТД "Электротехмонтаж";
ООО СНАБСИБЭЛЕКТРО";
ООО "СЭК"</t>
  </si>
  <si>
    <t>0,7125;
0,72585;
1,4667</t>
  </si>
  <si>
    <t>АО "ТД "Электротехмонтаж"</t>
  </si>
  <si>
    <t>счет №602/4419472 от 05.09.2024</t>
  </si>
  <si>
    <t>Поставка счетчика ПСЧ</t>
  </si>
  <si>
    <t>Сравнение цен в электронной форме</t>
  </si>
  <si>
    <t>ООО "Электрокомплект"</t>
  </si>
  <si>
    <t>23,50;
24,00</t>
  </si>
  <si>
    <t>95</t>
  </si>
  <si>
    <t>УПД №1386 от 21.11.2024</t>
  </si>
  <si>
    <t>Поставка силового ящика</t>
  </si>
  <si>
    <t xml:space="preserve">ООО «ЭТМ» </t>
  </si>
  <si>
    <t>УПД №602/4420313 от 09.12.2024</t>
  </si>
  <si>
    <t>Поставка трансформатора тока ТОП-0,66</t>
  </si>
  <si>
    <t>ООО "Электрокомплект";
ООО "ОЭТ";
ООО "Энергомир"</t>
  </si>
  <si>
    <t>3,600;
3,675;
7,524</t>
  </si>
  <si>
    <t>96</t>
  </si>
  <si>
    <t>УПД №1481 от 10.12.2024</t>
  </si>
  <si>
    <t>Поставка гаражного оборудования</t>
  </si>
  <si>
    <t>ООО "ПТК"</t>
  </si>
  <si>
    <t>109</t>
  </si>
  <si>
    <t>счет №277 от 19.12.2024, УПД №171 от 24.12.2024</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</si>
  <si>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</si>
  <si>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</si>
  <si>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</si>
  <si>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</si>
  <si>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</si>
  <si>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г. Новосибирск</t>
  </si>
  <si>
    <t>не требуется</t>
  </si>
  <si>
    <t>не относится</t>
  </si>
  <si>
    <t>55,66 МВА</t>
  </si>
  <si>
    <t>775/7700084 от 10.06.2024</t>
  </si>
  <si>
    <t>Кабельный наконечник, отходящего кабеля 0,4 кВ РУ-0,4 кВ 9Щ (1-я площадка Котельная №34) ООО «НТСК» (яч. №10 (ф. 11-260) РУ-10 кВ ПС 220 кВ Тулинская (ЗРУ-1), яч. №24 (ф. 10-72) РУ-10 кВ ПС 220 кВ Тулинская (ЗРУ-2))</t>
  </si>
  <si>
    <t>1. Технологическое присоединение  энергопринимающих устройств Заявителей к сетям АО "Электромагистраль".</t>
  </si>
  <si>
    <t>Установка приборов учета 1 шт.</t>
  </si>
  <si>
    <t>ПС 220 кВ Тулинская</t>
  </si>
  <si>
    <t>61,73 тыс. руб с НДС за 1 шт.</t>
  </si>
  <si>
    <t>Выделение этапов не предусмотрено</t>
  </si>
  <si>
    <t>1. Договоры технологического присоединения: 240/7700046 от 31.08.2020</t>
  </si>
  <si>
    <t>З</t>
  </si>
  <si>
    <t>Сибирский Федеральный округ, Новосибирская область, г. Новосибирск</t>
  </si>
  <si>
    <t xml:space="preserve">Сетевая организация осуществляет: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прибора учета на границе балансовой принадлежности, если иное не установлено соглашением сторон, учет выполнить в месте, максимально приближенном к границе балансовой принадлежности, в которых имеется техническая возможность их установки.
Класс точности устанавливаемого прибора учета 0,5S и выше по активной энергии и 1,0 по реактивной энергии. Учёт электроэнергии выполнить на границе балансовой принадлежности объектов электроэнергетики. 
Установить устройство, обеспечивающее контроль величины максимальной мощности в пределах 46,7 кВт. В качестве такого устройства, возможно использование прибора учета электрической энергии, обладающего функцией контроля величины максимальной мощности.
</t>
  </si>
  <si>
    <t>Исполнен АТП №869/7700084 от 21.01.2025</t>
  </si>
  <si>
    <t xml:space="preserve">Новосибирская область, г. Новосибирск, Кировский район, 
ул. Петухова, д. 4 (кадастровый номер земельного участка: 54:35:051065:317)
</t>
  </si>
  <si>
    <t>Объект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</si>
</sst>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 numFmtId="170" formatCode="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70"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503</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549</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550</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3.27E-2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0.43243291703543546</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2.8494100000000001E-3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O_00.0099.000099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445</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444</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6.6526624255439995E-2</v>
      </c>
      <c r="D24" s="261">
        <f t="shared" ref="D24:G24" si="0">D25+D26+D27+D32+D33</f>
        <v>6.1729930000000002E-2</v>
      </c>
      <c r="E24" s="262">
        <f>J24+N24+R24+V24+Z24+AE24</f>
        <v>2.8494100000000001E-3</v>
      </c>
      <c r="F24" s="262">
        <f t="shared" ref="F24:F26" si="1">N24+R24+V24+Z24+AE24</f>
        <v>0</v>
      </c>
      <c r="G24" s="253">
        <f t="shared" si="0"/>
        <v>5.8880520000000006E-2</v>
      </c>
      <c r="H24" s="253">
        <f>H25+H26+H27+H32+H33</f>
        <v>0</v>
      </c>
      <c r="I24" s="253" t="s">
        <v>424</v>
      </c>
      <c r="J24" s="261">
        <f>J25+J26+J27+J32+J33</f>
        <v>2.8494100000000001E-3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2.8494100000000001E-3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5.5438853546199998E-2</v>
      </c>
      <c r="D27" s="261">
        <v>5.1760195000000009E-2</v>
      </c>
      <c r="E27" s="264">
        <f>J27+N27+R27+V27+Z27+AE27</f>
        <v>2.3745083333333332E-3</v>
      </c>
      <c r="F27" s="264">
        <f t="shared" ref="F27:F68" si="8">N27+R27+V27+Z27+AE27</f>
        <v>0</v>
      </c>
      <c r="G27" s="253">
        <v>5.8880520000000006E-2</v>
      </c>
      <c r="H27" s="253">
        <f>SUM(H28:H31)</f>
        <v>0</v>
      </c>
      <c r="I27" s="253" t="s">
        <v>424</v>
      </c>
      <c r="J27" s="261">
        <f>SUM(J28:J31)</f>
        <v>2.3745083333333332E-3</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2.3745083333333332E-3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1.5677338908234211E-4</v>
      </c>
      <c r="F28" s="264">
        <f t="shared" si="8"/>
        <v>0</v>
      </c>
      <c r="G28" s="254" t="s">
        <v>424</v>
      </c>
      <c r="H28" s="254">
        <v>0</v>
      </c>
      <c r="I28" s="255">
        <v>0</v>
      </c>
      <c r="J28" s="263">
        <v>1.5677338908234211E-4</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1.5677338908234211E-4</v>
      </c>
      <c r="AE28" s="274">
        <v>0</v>
      </c>
      <c r="AF28" s="274">
        <v>0</v>
      </c>
      <c r="AG28" s="278">
        <v>0</v>
      </c>
      <c r="AH28" s="278">
        <v>0</v>
      </c>
    </row>
    <row r="29" spans="1:34" ht="31.5" x14ac:dyDescent="0.25">
      <c r="A29" s="58" t="s">
        <v>426</v>
      </c>
      <c r="B29" s="42" t="s">
        <v>166</v>
      </c>
      <c r="C29" s="255" t="s">
        <v>424</v>
      </c>
      <c r="D29" s="265" t="s">
        <v>424</v>
      </c>
      <c r="E29" s="264">
        <f t="shared" si="9"/>
        <v>3.7624107978876693E-4</v>
      </c>
      <c r="F29" s="264">
        <f t="shared" si="8"/>
        <v>0</v>
      </c>
      <c r="G29" s="254" t="s">
        <v>424</v>
      </c>
      <c r="H29" s="254">
        <v>0</v>
      </c>
      <c r="I29" s="255">
        <v>0</v>
      </c>
      <c r="J29" s="263">
        <v>3.7624107978876693E-4</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3.7624107978876693E-4</v>
      </c>
      <c r="AD29" s="204"/>
      <c r="AE29" s="274">
        <v>0</v>
      </c>
      <c r="AF29" s="276">
        <v>0</v>
      </c>
      <c r="AG29" s="278">
        <v>0</v>
      </c>
      <c r="AH29" s="278">
        <v>0</v>
      </c>
    </row>
    <row r="30" spans="1:34" x14ac:dyDescent="0.25">
      <c r="A30" s="58" t="s">
        <v>427</v>
      </c>
      <c r="B30" s="42" t="s">
        <v>164</v>
      </c>
      <c r="C30" s="255" t="s">
        <v>424</v>
      </c>
      <c r="D30" s="265" t="s">
        <v>424</v>
      </c>
      <c r="E30" s="264">
        <f t="shared" si="9"/>
        <v>1.8414938644622241E-3</v>
      </c>
      <c r="F30" s="264">
        <f t="shared" si="8"/>
        <v>0</v>
      </c>
      <c r="G30" s="254" t="s">
        <v>424</v>
      </c>
      <c r="H30" s="254">
        <v>0</v>
      </c>
      <c r="I30" s="255">
        <v>0</v>
      </c>
      <c r="J30" s="263">
        <v>1.8414938644622241E-3</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1.8414938644622241E-3</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1.1087770709239997E-2</v>
      </c>
      <c r="D33" s="263">
        <v>9.9697349999999935E-3</v>
      </c>
      <c r="E33" s="264">
        <f t="shared" si="9"/>
        <v>4.7490166666666676E-4</v>
      </c>
      <c r="F33" s="264">
        <f t="shared" si="8"/>
        <v>0</v>
      </c>
      <c r="G33" s="254">
        <v>0</v>
      </c>
      <c r="H33" s="254">
        <v>0</v>
      </c>
      <c r="I33" s="254">
        <f>I31</f>
        <v>0</v>
      </c>
      <c r="J33" s="263">
        <v>4.7490166666666676E-4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4.7490166666666676E-4</v>
      </c>
      <c r="AE33" s="274">
        <v>0</v>
      </c>
      <c r="AF33" s="274">
        <f>AF31</f>
        <v>0</v>
      </c>
      <c r="AG33" s="278">
        <v>0</v>
      </c>
      <c r="AH33" s="278">
        <v>0</v>
      </c>
    </row>
    <row r="34" spans="1:34" ht="47.25" x14ac:dyDescent="0.25">
      <c r="A34" s="60" t="s">
        <v>61</v>
      </c>
      <c r="B34" s="59" t="s">
        <v>170</v>
      </c>
      <c r="C34" s="253">
        <f>SUM(C35:C38)</f>
        <v>0</v>
      </c>
      <c r="D34" s="261">
        <f t="shared" ref="D34:G34" si="10">SUM(D35:D38)</f>
        <v>5.2234699999999995E-2</v>
      </c>
      <c r="E34" s="262">
        <f t="shared" si="9"/>
        <v>0</v>
      </c>
      <c r="F34" s="262">
        <f t="shared" si="8"/>
        <v>0</v>
      </c>
      <c r="G34" s="253">
        <f t="shared" si="10"/>
        <v>5.2234699999999995E-2</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4.7605299999999998E-3</v>
      </c>
      <c r="E36" s="264">
        <f t="shared" si="9"/>
        <v>0</v>
      </c>
      <c r="F36" s="264">
        <f t="shared" si="8"/>
        <v>0</v>
      </c>
      <c r="G36" s="254">
        <v>4.7605299999999998E-3</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4.7474169999999996E-2</v>
      </c>
      <c r="E37" s="264">
        <f t="shared" si="9"/>
        <v>0</v>
      </c>
      <c r="F37" s="264">
        <f t="shared" si="8"/>
        <v>0</v>
      </c>
      <c r="G37" s="254">
        <v>4.7474169999999996E-2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5.5438853546200005E-2</v>
      </c>
      <c r="D56" s="263">
        <v>5.2234699999999988E-2</v>
      </c>
      <c r="E56" s="264">
        <f t="shared" si="9"/>
        <v>0</v>
      </c>
      <c r="F56" s="264">
        <f t="shared" si="8"/>
        <v>0</v>
      </c>
      <c r="G56" s="254">
        <v>5.2234699999999995E-2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446</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O_00.0099.000099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45653</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61.890029999999996</v>
      </c>
      <c r="Q26" s="173" t="s">
        <v>424</v>
      </c>
      <c r="R26" s="175">
        <f>SUM(R27:R86)</f>
        <v>61.890029999999996</v>
      </c>
      <c r="S26" s="173" t="s">
        <v>424</v>
      </c>
      <c r="T26" s="173" t="s">
        <v>424</v>
      </c>
      <c r="U26" s="173" t="s">
        <v>424</v>
      </c>
      <c r="V26" s="173" t="s">
        <v>424</v>
      </c>
      <c r="W26" s="173" t="s">
        <v>424</v>
      </c>
      <c r="X26" s="173" t="s">
        <v>424</v>
      </c>
      <c r="Y26" s="173" t="s">
        <v>424</v>
      </c>
      <c r="Z26" s="173" t="s">
        <v>424</v>
      </c>
      <c r="AA26" s="173" t="s">
        <v>424</v>
      </c>
      <c r="AB26" s="175">
        <f>SUM(AB27:AB86)</f>
        <v>59.024169999999998</v>
      </c>
      <c r="AC26" s="173" t="s">
        <v>424</v>
      </c>
      <c r="AD26" s="175">
        <f>SUM(AD27:AD86)</f>
        <v>56.969003999999998</v>
      </c>
      <c r="AE26" s="175">
        <f>SUM(AE27:AE86)</f>
        <v>4.0000000005591119E-6</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47.474170000000001</v>
      </c>
      <c r="AY26" s="175">
        <f t="shared" si="46"/>
        <v>56.969000000000001</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0.3</v>
      </c>
      <c r="Q27" s="205" t="s">
        <v>514</v>
      </c>
      <c r="R27" s="206">
        <v>0.3</v>
      </c>
      <c r="S27" s="205" t="s">
        <v>515</v>
      </c>
      <c r="T27" s="205" t="s">
        <v>515</v>
      </c>
      <c r="U27" s="205">
        <v>3</v>
      </c>
      <c r="V27" s="205">
        <v>3</v>
      </c>
      <c r="W27" s="205" t="s">
        <v>516</v>
      </c>
      <c r="X27" s="205" t="s">
        <v>517</v>
      </c>
      <c r="Y27" s="205" t="s">
        <v>518</v>
      </c>
      <c r="Z27" s="205" t="s">
        <v>424</v>
      </c>
      <c r="AA27" s="205" t="s">
        <v>517</v>
      </c>
      <c r="AB27" s="206">
        <v>0.3</v>
      </c>
      <c r="AC27" s="205" t="s">
        <v>519</v>
      </c>
      <c r="AD27" s="206">
        <v>0.36</v>
      </c>
      <c r="AE27" s="247">
        <f>IF(IFERROR(AD27-AY27,"нд")&lt;0,0,IFERROR(AD27-AY27,"нд"))</f>
        <v>0</v>
      </c>
      <c r="AF27" s="205" t="s">
        <v>518</v>
      </c>
      <c r="AG27" s="205" t="s">
        <v>520</v>
      </c>
      <c r="AH27" s="205" t="s">
        <v>424</v>
      </c>
      <c r="AI27" s="207" t="s">
        <v>424</v>
      </c>
      <c r="AJ27" s="207" t="s">
        <v>424</v>
      </c>
      <c r="AK27" s="207" t="s">
        <v>424</v>
      </c>
      <c r="AL27" s="207" t="s">
        <v>424</v>
      </c>
      <c r="AM27" s="205" t="s">
        <v>521</v>
      </c>
      <c r="AN27" s="205" t="s">
        <v>522</v>
      </c>
      <c r="AO27" s="205">
        <v>45540</v>
      </c>
      <c r="AP27" s="205" t="s">
        <v>523</v>
      </c>
      <c r="AQ27" s="207">
        <v>45572</v>
      </c>
      <c r="AR27" s="207">
        <v>45540</v>
      </c>
      <c r="AS27" s="207">
        <v>45572</v>
      </c>
      <c r="AT27" s="207">
        <v>45540</v>
      </c>
      <c r="AU27" s="207">
        <v>45565</v>
      </c>
      <c r="AV27" s="205" t="s">
        <v>424</v>
      </c>
      <c r="AW27" s="205" t="s">
        <v>424</v>
      </c>
      <c r="AX27" s="208">
        <v>0.3</v>
      </c>
      <c r="AY27" s="208">
        <v>0.36</v>
      </c>
      <c r="AZ27" s="206" t="s">
        <v>524</v>
      </c>
      <c r="BA27" s="206" t="s">
        <v>511</v>
      </c>
      <c r="BB27" s="206" t="s">
        <v>519</v>
      </c>
      <c r="BC27" s="206" t="s">
        <v>525</v>
      </c>
      <c r="BD27" s="206" t="str">
        <f>CONCATENATE(BB27,", ",BA27,", ",N27,", ","договор № ",BC27)</f>
        <v>АО "ЧИП и ДИП", ТМЦ, Поставка коробки испытательной, договор № счет №13874112 от 04.09.2024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526</v>
      </c>
      <c r="O28" s="205" t="s">
        <v>513</v>
      </c>
      <c r="P28" s="206">
        <v>0.71250000000000002</v>
      </c>
      <c r="Q28" s="205" t="s">
        <v>514</v>
      </c>
      <c r="R28" s="206">
        <v>0.71250000000000002</v>
      </c>
      <c r="S28" s="205" t="s">
        <v>515</v>
      </c>
      <c r="T28" s="205" t="s">
        <v>515</v>
      </c>
      <c r="U28" s="205">
        <v>3</v>
      </c>
      <c r="V28" s="205">
        <v>3</v>
      </c>
      <c r="W28" s="205" t="s">
        <v>527</v>
      </c>
      <c r="X28" s="205" t="s">
        <v>528</v>
      </c>
      <c r="Y28" s="205" t="s">
        <v>518</v>
      </c>
      <c r="Z28" s="205" t="s">
        <v>424</v>
      </c>
      <c r="AA28" s="205" t="s">
        <v>528</v>
      </c>
      <c r="AB28" s="206">
        <v>0.71250000000000002</v>
      </c>
      <c r="AC28" s="205" t="s">
        <v>529</v>
      </c>
      <c r="AD28" s="206">
        <v>0.85499999999999998</v>
      </c>
      <c r="AE28" s="247">
        <f t="shared" ref="AE28:AE86" si="49">IF(IFERROR(AD28-AY28,"нд")&lt;0,0,IFERROR(AD28-AY28,"нд"))</f>
        <v>0</v>
      </c>
      <c r="AF28" s="205" t="s">
        <v>518</v>
      </c>
      <c r="AG28" s="205" t="s">
        <v>520</v>
      </c>
      <c r="AH28" s="205" t="s">
        <v>424</v>
      </c>
      <c r="AI28" s="207" t="s">
        <v>424</v>
      </c>
      <c r="AJ28" s="207" t="s">
        <v>424</v>
      </c>
      <c r="AK28" s="207" t="s">
        <v>424</v>
      </c>
      <c r="AL28" s="207" t="s">
        <v>424</v>
      </c>
      <c r="AM28" s="205" t="s">
        <v>521</v>
      </c>
      <c r="AN28" s="205" t="s">
        <v>522</v>
      </c>
      <c r="AO28" s="205">
        <v>45540</v>
      </c>
      <c r="AP28" s="205">
        <v>85</v>
      </c>
      <c r="AQ28" s="207">
        <v>45568</v>
      </c>
      <c r="AR28" s="207">
        <v>45540</v>
      </c>
      <c r="AS28" s="207">
        <v>45568</v>
      </c>
      <c r="AT28" s="207">
        <v>45540</v>
      </c>
      <c r="AU28" s="207">
        <v>45565</v>
      </c>
      <c r="AV28" s="205" t="s">
        <v>424</v>
      </c>
      <c r="AW28" s="205" t="s">
        <v>424</v>
      </c>
      <c r="AX28" s="206">
        <v>0.71250000000000002</v>
      </c>
      <c r="AY28" s="206">
        <v>0.85499999999999998</v>
      </c>
      <c r="AZ28" s="206" t="s">
        <v>524</v>
      </c>
      <c r="BA28" s="206" t="s">
        <v>511</v>
      </c>
      <c r="BB28" s="206" t="s">
        <v>529</v>
      </c>
      <c r="BC28" s="206" t="s">
        <v>530</v>
      </c>
      <c r="BD28" s="206" t="str">
        <f t="shared" ref="BD28:BD86" si="50">CONCATENATE(BB28,", ",BA28,", ",N28,", ","договор № ",BC28)</f>
        <v>АО "ТД "Электротехмонтаж", ТМЦ, Поставка силового кабеля, договор № счет №602/4419472 от 05.09.2024</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531</v>
      </c>
      <c r="O29" s="205" t="s">
        <v>513</v>
      </c>
      <c r="P29" s="206">
        <v>24.08333</v>
      </c>
      <c r="Q29" s="205" t="s">
        <v>514</v>
      </c>
      <c r="R29" s="206">
        <v>24.08333</v>
      </c>
      <c r="S29" s="205" t="s">
        <v>532</v>
      </c>
      <c r="T29" s="205" t="s">
        <v>532</v>
      </c>
      <c r="U29" s="205">
        <v>3</v>
      </c>
      <c r="V29" s="205">
        <v>2</v>
      </c>
      <c r="W29" s="205" t="s">
        <v>533</v>
      </c>
      <c r="X29" s="205" t="s">
        <v>534</v>
      </c>
      <c r="Y29" s="205" t="s">
        <v>518</v>
      </c>
      <c r="Z29" s="205" t="s">
        <v>424</v>
      </c>
      <c r="AA29" s="205" t="s">
        <v>534</v>
      </c>
      <c r="AB29" s="206">
        <v>23.5</v>
      </c>
      <c r="AC29" s="205" t="s">
        <v>533</v>
      </c>
      <c r="AD29" s="206">
        <v>28.2</v>
      </c>
      <c r="AE29" s="247">
        <f t="shared" si="49"/>
        <v>0</v>
      </c>
      <c r="AF29" s="205" t="s">
        <v>518</v>
      </c>
      <c r="AG29" s="205" t="s">
        <v>520</v>
      </c>
      <c r="AH29" s="205" t="s">
        <v>424</v>
      </c>
      <c r="AI29" s="207" t="s">
        <v>424</v>
      </c>
      <c r="AJ29" s="207" t="s">
        <v>424</v>
      </c>
      <c r="AK29" s="207" t="s">
        <v>424</v>
      </c>
      <c r="AL29" s="207" t="s">
        <v>424</v>
      </c>
      <c r="AM29" s="205" t="s">
        <v>521</v>
      </c>
      <c r="AN29" s="205" t="s">
        <v>522</v>
      </c>
      <c r="AO29" s="205">
        <v>45618</v>
      </c>
      <c r="AP29" s="205" t="s">
        <v>535</v>
      </c>
      <c r="AQ29" s="207">
        <v>45646</v>
      </c>
      <c r="AR29" s="207">
        <v>45618</v>
      </c>
      <c r="AS29" s="207">
        <v>45646</v>
      </c>
      <c r="AT29" s="207">
        <v>45618</v>
      </c>
      <c r="AU29" s="207">
        <v>45636</v>
      </c>
      <c r="AV29" s="205" t="s">
        <v>424</v>
      </c>
      <c r="AW29" s="205" t="s">
        <v>424</v>
      </c>
      <c r="AX29" s="206">
        <v>23.5</v>
      </c>
      <c r="AY29" s="206">
        <v>28.2</v>
      </c>
      <c r="AZ29" s="206" t="s">
        <v>524</v>
      </c>
      <c r="BA29" s="206" t="s">
        <v>511</v>
      </c>
      <c r="BB29" s="206" t="s">
        <v>533</v>
      </c>
      <c r="BC29" s="206" t="s">
        <v>536</v>
      </c>
      <c r="BD29" s="206" t="str">
        <f t="shared" si="50"/>
        <v>ООО "Электрокомплект", ТМЦ, Поставка счетчика ПСЧ, договор № УПД №1386 от 21.11.2024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511</v>
      </c>
      <c r="N30" s="205" t="s">
        <v>537</v>
      </c>
      <c r="O30" s="205" t="s">
        <v>513</v>
      </c>
      <c r="P30" s="206">
        <v>19.999199999999998</v>
      </c>
      <c r="Q30" s="205" t="s">
        <v>514</v>
      </c>
      <c r="R30" s="206">
        <v>19.999199999999998</v>
      </c>
      <c r="S30" s="205" t="s">
        <v>532</v>
      </c>
      <c r="T30" s="205" t="s">
        <v>532</v>
      </c>
      <c r="U30" s="205">
        <v>3</v>
      </c>
      <c r="V30" s="205">
        <v>1</v>
      </c>
      <c r="W30" s="205" t="s">
        <v>538</v>
      </c>
      <c r="X30" s="205">
        <v>19.16667</v>
      </c>
      <c r="Y30" s="205" t="s">
        <v>518</v>
      </c>
      <c r="Z30" s="205" t="s">
        <v>424</v>
      </c>
      <c r="AA30" s="205">
        <v>19.16667</v>
      </c>
      <c r="AB30" s="206">
        <v>19.16667</v>
      </c>
      <c r="AC30" s="205" t="s">
        <v>538</v>
      </c>
      <c r="AD30" s="206">
        <v>23.000004000000001</v>
      </c>
      <c r="AE30" s="247">
        <f t="shared" si="49"/>
        <v>4.0000000005591119E-6</v>
      </c>
      <c r="AF30" s="205" t="s">
        <v>518</v>
      </c>
      <c r="AG30" s="205" t="s">
        <v>520</v>
      </c>
      <c r="AH30" s="205" t="s">
        <v>424</v>
      </c>
      <c r="AI30" s="207" t="s">
        <v>424</v>
      </c>
      <c r="AJ30" s="207" t="s">
        <v>424</v>
      </c>
      <c r="AK30" s="207" t="s">
        <v>424</v>
      </c>
      <c r="AL30" s="207" t="s">
        <v>424</v>
      </c>
      <c r="AM30" s="205" t="s">
        <v>521</v>
      </c>
      <c r="AN30" s="205" t="s">
        <v>522</v>
      </c>
      <c r="AO30" s="205">
        <v>45621</v>
      </c>
      <c r="AP30" s="205">
        <v>97</v>
      </c>
      <c r="AQ30" s="207">
        <v>45649</v>
      </c>
      <c r="AR30" s="207">
        <v>45621</v>
      </c>
      <c r="AS30" s="207">
        <v>45649</v>
      </c>
      <c r="AT30" s="207">
        <v>45621</v>
      </c>
      <c r="AU30" s="207">
        <v>45636</v>
      </c>
      <c r="AV30" s="205" t="s">
        <v>424</v>
      </c>
      <c r="AW30" s="205" t="s">
        <v>424</v>
      </c>
      <c r="AX30" s="206">
        <v>19.16667</v>
      </c>
      <c r="AY30" s="206">
        <v>23</v>
      </c>
      <c r="AZ30" s="206" t="s">
        <v>524</v>
      </c>
      <c r="BA30" s="206" t="s">
        <v>511</v>
      </c>
      <c r="BB30" s="206" t="s">
        <v>538</v>
      </c>
      <c r="BC30" s="206" t="s">
        <v>539</v>
      </c>
      <c r="BD30" s="206" t="str">
        <f t="shared" si="50"/>
        <v>ООО «ЭТМ» , ТМЦ, Поставка силового ящика, договор № УПД №602/4420313 от 09.12.2024</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511</v>
      </c>
      <c r="N31" s="205" t="s">
        <v>540</v>
      </c>
      <c r="O31" s="205" t="s">
        <v>513</v>
      </c>
      <c r="P31" s="206">
        <v>3.6</v>
      </c>
      <c r="Q31" s="205" t="s">
        <v>514</v>
      </c>
      <c r="R31" s="206">
        <v>3.6</v>
      </c>
      <c r="S31" s="205" t="s">
        <v>515</v>
      </c>
      <c r="T31" s="205" t="s">
        <v>515</v>
      </c>
      <c r="U31" s="205">
        <v>3</v>
      </c>
      <c r="V31" s="205">
        <v>3</v>
      </c>
      <c r="W31" s="205" t="s">
        <v>541</v>
      </c>
      <c r="X31" s="205" t="s">
        <v>542</v>
      </c>
      <c r="Y31" s="205" t="s">
        <v>518</v>
      </c>
      <c r="Z31" s="205" t="s">
        <v>424</v>
      </c>
      <c r="AA31" s="205" t="s">
        <v>542</v>
      </c>
      <c r="AB31" s="206">
        <v>3.6</v>
      </c>
      <c r="AC31" s="205" t="s">
        <v>533</v>
      </c>
      <c r="AD31" s="206">
        <v>4.32</v>
      </c>
      <c r="AE31" s="247">
        <f t="shared" si="49"/>
        <v>0</v>
      </c>
      <c r="AF31" s="205" t="s">
        <v>518</v>
      </c>
      <c r="AG31" s="205" t="s">
        <v>520</v>
      </c>
      <c r="AH31" s="205" t="s">
        <v>424</v>
      </c>
      <c r="AI31" s="207" t="s">
        <v>424</v>
      </c>
      <c r="AJ31" s="207" t="s">
        <v>424</v>
      </c>
      <c r="AK31" s="207" t="s">
        <v>424</v>
      </c>
      <c r="AL31" s="207" t="s">
        <v>424</v>
      </c>
      <c r="AM31" s="205" t="s">
        <v>521</v>
      </c>
      <c r="AN31" s="205" t="s">
        <v>522</v>
      </c>
      <c r="AO31" s="205">
        <v>45619</v>
      </c>
      <c r="AP31" s="205" t="s">
        <v>543</v>
      </c>
      <c r="AQ31" s="207">
        <v>45646</v>
      </c>
      <c r="AR31" s="207">
        <v>45619</v>
      </c>
      <c r="AS31" s="207">
        <v>45646</v>
      </c>
      <c r="AT31" s="207">
        <v>45619</v>
      </c>
      <c r="AU31" s="207">
        <v>45643</v>
      </c>
      <c r="AV31" s="205" t="s">
        <v>424</v>
      </c>
      <c r="AW31" s="205" t="s">
        <v>424</v>
      </c>
      <c r="AX31" s="206">
        <v>3.6</v>
      </c>
      <c r="AY31" s="206">
        <v>4.32</v>
      </c>
      <c r="AZ31" s="206" t="s">
        <v>524</v>
      </c>
      <c r="BA31" s="206" t="s">
        <v>511</v>
      </c>
      <c r="BB31" s="206" t="s">
        <v>533</v>
      </c>
      <c r="BC31" s="206" t="s">
        <v>544</v>
      </c>
      <c r="BD31" s="206" t="str">
        <f t="shared" si="50"/>
        <v>ООО "Электрокомплект", ТМЦ, Поставка трансформатора тока ТОП-0,66, договор № УПД №1481 от 10.12.2024</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511</v>
      </c>
      <c r="N32" s="205" t="s">
        <v>545</v>
      </c>
      <c r="O32" s="205" t="s">
        <v>513</v>
      </c>
      <c r="P32" s="206">
        <v>13.195</v>
      </c>
      <c r="Q32" s="205" t="s">
        <v>514</v>
      </c>
      <c r="R32" s="206">
        <v>13.195</v>
      </c>
      <c r="S32" s="205" t="s">
        <v>532</v>
      </c>
      <c r="T32" s="205" t="s">
        <v>532</v>
      </c>
      <c r="U32" s="205">
        <v>3</v>
      </c>
      <c r="V32" s="205">
        <v>1</v>
      </c>
      <c r="W32" s="205" t="s">
        <v>546</v>
      </c>
      <c r="X32" s="205">
        <v>11.744999999999999</v>
      </c>
      <c r="Y32" s="205" t="s">
        <v>518</v>
      </c>
      <c r="Z32" s="205" t="s">
        <v>424</v>
      </c>
      <c r="AA32" s="205">
        <v>11.744999999999999</v>
      </c>
      <c r="AB32" s="206">
        <v>11.744999999999999</v>
      </c>
      <c r="AC32" s="205" t="s">
        <v>546</v>
      </c>
      <c r="AD32" s="206">
        <v>0.23399999999999999</v>
      </c>
      <c r="AE32" s="247">
        <f t="shared" si="49"/>
        <v>0</v>
      </c>
      <c r="AF32" s="205" t="s">
        <v>518</v>
      </c>
      <c r="AG32" s="205" t="s">
        <v>520</v>
      </c>
      <c r="AH32" s="205" t="s">
        <v>424</v>
      </c>
      <c r="AI32" s="207" t="s">
        <v>424</v>
      </c>
      <c r="AJ32" s="207" t="s">
        <v>424</v>
      </c>
      <c r="AK32" s="207" t="s">
        <v>424</v>
      </c>
      <c r="AL32" s="207" t="s">
        <v>424</v>
      </c>
      <c r="AM32" s="205" t="s">
        <v>521</v>
      </c>
      <c r="AN32" s="205" t="s">
        <v>522</v>
      </c>
      <c r="AO32" s="205">
        <v>45639</v>
      </c>
      <c r="AP32" s="205" t="s">
        <v>547</v>
      </c>
      <c r="AQ32" s="207">
        <v>45657</v>
      </c>
      <c r="AR32" s="207">
        <v>45639</v>
      </c>
      <c r="AS32" s="207">
        <v>45657</v>
      </c>
      <c r="AT32" s="207">
        <v>45639</v>
      </c>
      <c r="AU32" s="207">
        <v>45650</v>
      </c>
      <c r="AV32" s="205" t="s">
        <v>424</v>
      </c>
      <c r="AW32" s="205" t="s">
        <v>424</v>
      </c>
      <c r="AX32" s="206">
        <v>0.19500000000000001</v>
      </c>
      <c r="AY32" s="206">
        <v>0.23400000000000001</v>
      </c>
      <c r="AZ32" s="206" t="s">
        <v>524</v>
      </c>
      <c r="BA32" s="206" t="s">
        <v>511</v>
      </c>
      <c r="BB32" s="206" t="s">
        <v>546</v>
      </c>
      <c r="BC32" s="206" t="s">
        <v>548</v>
      </c>
      <c r="BD32" s="206" t="str">
        <f t="shared" si="50"/>
        <v>ООО "ПТК", ТМЦ, Поставка гаражного оборудования, договор № счет №277 от 19.12.2024, УПД №171 от 24.12.2024</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O_00.0099.000099</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562</v>
      </c>
    </row>
    <row r="22" spans="1:2" x14ac:dyDescent="0.25">
      <c r="A22" s="153" t="s">
        <v>305</v>
      </c>
      <c r="B22" s="153" t="s">
        <v>567</v>
      </c>
    </row>
    <row r="23" spans="1:2" x14ac:dyDescent="0.25">
      <c r="A23" s="153" t="s">
        <v>287</v>
      </c>
      <c r="B23" s="153" t="s">
        <v>551</v>
      </c>
    </row>
    <row r="24" spans="1:2" x14ac:dyDescent="0.25">
      <c r="A24" s="153" t="s">
        <v>306</v>
      </c>
      <c r="B24" s="153" t="s">
        <v>424</v>
      </c>
    </row>
    <row r="25" spans="1:2" x14ac:dyDescent="0.25">
      <c r="A25" s="154" t="s">
        <v>307</v>
      </c>
      <c r="B25" s="171">
        <v>45653</v>
      </c>
    </row>
    <row r="26" spans="1:2" x14ac:dyDescent="0.25">
      <c r="A26" s="154" t="s">
        <v>308</v>
      </c>
      <c r="B26" s="156" t="s">
        <v>566</v>
      </c>
    </row>
    <row r="27" spans="1:2" x14ac:dyDescent="0.25">
      <c r="A27" s="156" t="str">
        <f>CONCATENATE("Стоимость проекта в прогнозных ценах, млн. руб. с НДС")</f>
        <v>Стоимость проекта в прогнозных ценах, млн. руб. с НДС</v>
      </c>
      <c r="B27" s="167">
        <v>6.1729930000000002E-2</v>
      </c>
    </row>
    <row r="28" spans="1:2" ht="93.75" customHeight="1" x14ac:dyDescent="0.25">
      <c r="A28" s="155" t="s">
        <v>309</v>
      </c>
      <c r="B28" s="158" t="s">
        <v>552</v>
      </c>
    </row>
    <row r="29" spans="1:2" ht="28.5" x14ac:dyDescent="0.25">
      <c r="A29" s="156" t="s">
        <v>310</v>
      </c>
      <c r="B29" s="167">
        <f>'7. Паспорт отчет о закупке'!$AB$26*1.2/1000</f>
        <v>7.0829004000000001E-2</v>
      </c>
    </row>
    <row r="30" spans="1:2" ht="28.5" x14ac:dyDescent="0.25">
      <c r="A30" s="156" t="s">
        <v>311</v>
      </c>
      <c r="B30" s="167">
        <f>'7. Паспорт отчет о закупке'!$AD$26/1000</f>
        <v>5.6969003999999997E-2</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5.6735003999999999E-2</v>
      </c>
    </row>
    <row r="58" spans="1:2" ht="30" x14ac:dyDescent="0.25">
      <c r="A58" s="164" t="s">
        <v>432</v>
      </c>
      <c r="B58" s="157">
        <f>IF(VLOOKUP(1,'7. Паспорт отчет о закупке'!$A$27:$CD$86,52,0)="ПД",VLOOKUP(1,'7. Паспорт отчет о закупке'!$A$27:$CD$86,30,0)/1000,"нд")</f>
        <v>3.5999999999999997E-4</v>
      </c>
    </row>
    <row r="59" spans="1:2" x14ac:dyDescent="0.25">
      <c r="A59" s="164" t="s">
        <v>314</v>
      </c>
      <c r="B59" s="157">
        <f>IF(B58="нд","нд",$B58/$B$27*100)</f>
        <v>0.58318549850939394</v>
      </c>
    </row>
    <row r="60" spans="1:2" x14ac:dyDescent="0.25">
      <c r="A60" s="164" t="s">
        <v>315</v>
      </c>
      <c r="B60" s="157">
        <f>IF(VLOOKUP(1,'7. Паспорт отчет о закупке'!$A$27:$CD$86,52,0)="ПД",VLOOKUP(1,'7. Паспорт отчет о закупке'!$A$27:$CD$86,51,0)/1000,"нд")</f>
        <v>3.5999999999999997E-4</v>
      </c>
    </row>
    <row r="61" spans="1:2" x14ac:dyDescent="0.25">
      <c r="A61" s="164" t="s">
        <v>436</v>
      </c>
      <c r="B61" s="157">
        <f>IF(VLOOKUP(1,'7. Паспорт отчет о закупке'!$A$27:$CD$86,52,0)="ПД",VLOOKUP(1,'7. Паспорт отчет о закупке'!$A$27:$CD$86,50,0)/1000,"нд")</f>
        <v>2.9999999999999997E-4</v>
      </c>
    </row>
    <row r="62" spans="1:2" ht="30" x14ac:dyDescent="0.25">
      <c r="A62" s="164" t="s">
        <v>432</v>
      </c>
      <c r="B62" s="157">
        <f>IF(VLOOKUP(2,'7. Паспорт отчет о закупке'!$A$27:$CD$86,52,0)="ПД",VLOOKUP(2,'7. Паспорт отчет о закупке'!$A$27:$CD$86,30,0)/1000,"нд")</f>
        <v>8.5499999999999997E-4</v>
      </c>
    </row>
    <row r="63" spans="1:2" x14ac:dyDescent="0.25">
      <c r="A63" s="164" t="s">
        <v>314</v>
      </c>
      <c r="B63" s="157">
        <f>IF(B62="нд","нд",$B62/$B$27*100)</f>
        <v>1.3850655589598109</v>
      </c>
    </row>
    <row r="64" spans="1:2" x14ac:dyDescent="0.25">
      <c r="A64" s="164" t="s">
        <v>315</v>
      </c>
      <c r="B64" s="157">
        <f>IF(VLOOKUP(2,'7. Паспорт отчет о закупке'!$A$27:$CD$86,52,0)="ПД",VLOOKUP(2,'7. Паспорт отчет о закупке'!$A$27:$CD$86,51,0)/1000,"нд")</f>
        <v>8.5499999999999997E-4</v>
      </c>
    </row>
    <row r="65" spans="1:2" x14ac:dyDescent="0.25">
      <c r="A65" s="164" t="s">
        <v>436</v>
      </c>
      <c r="B65" s="157">
        <f>IF(VLOOKUP(2,'7. Паспорт отчет о закупке'!$A$27:$CD$86,52,0)="ПД",VLOOKUP(2,'7. Паспорт отчет о закупке'!$A$27:$CD$86,50,0)/1000,"нд")</f>
        <v>7.1250000000000003E-4</v>
      </c>
    </row>
    <row r="66" spans="1:2" ht="30" x14ac:dyDescent="0.25">
      <c r="A66" s="164" t="s">
        <v>432</v>
      </c>
      <c r="B66" s="157">
        <f>IF(VLOOKUP(3,'7. Паспорт отчет о закупке'!$A$27:$CD$86,52,0)="ПД",VLOOKUP(3,'7. Паспорт отчет о закупке'!$A$27:$CD$86,30,0)/1000,"нд")</f>
        <v>2.8199999999999999E-2</v>
      </c>
    </row>
    <row r="67" spans="1:2" x14ac:dyDescent="0.25">
      <c r="A67" s="164" t="s">
        <v>314</v>
      </c>
      <c r="B67" s="157">
        <f>IF(B66="нд","нд",$B66/$B$27*100)</f>
        <v>45.682864049902534</v>
      </c>
    </row>
    <row r="68" spans="1:2" x14ac:dyDescent="0.25">
      <c r="A68" s="164" t="s">
        <v>315</v>
      </c>
      <c r="B68" s="157">
        <f>IF(VLOOKUP(3,'7. Паспорт отчет о закупке'!$A$27:$CD$86,52,0)="ПД",VLOOKUP(3,'7. Паспорт отчет о закупке'!$A$27:$CD$86,51,0)/1000,"нд")</f>
        <v>2.8199999999999999E-2</v>
      </c>
    </row>
    <row r="69" spans="1:2" x14ac:dyDescent="0.25">
      <c r="A69" s="164" t="s">
        <v>436</v>
      </c>
      <c r="B69" s="157">
        <f>IF(VLOOKUP(3,'7. Паспорт отчет о закупке'!$A$27:$CD$86,52,0)="ПД",VLOOKUP(3,'7. Паспорт отчет о закупке'!$A$27:$CD$86,50,0)/1000,"нд")</f>
        <v>2.35E-2</v>
      </c>
    </row>
    <row r="70" spans="1:2" ht="30" x14ac:dyDescent="0.25">
      <c r="A70" s="164" t="s">
        <v>432</v>
      </c>
      <c r="B70" s="157">
        <f>IF(VLOOKUP(4,'7. Паспорт отчет о закупке'!$A$27:$CD$86,52,0)="ПД",VLOOKUP(4,'7. Паспорт отчет о закупке'!$A$27:$CD$86,30,0)/1000,"нд")</f>
        <v>2.3000004000000001E-2</v>
      </c>
    </row>
    <row r="71" spans="1:2" x14ac:dyDescent="0.25">
      <c r="A71" s="164" t="s">
        <v>314</v>
      </c>
      <c r="B71" s="157">
        <f>IF(B70="нд","нд",$B70/$B$27*100)</f>
        <v>37.259079995716824</v>
      </c>
    </row>
    <row r="72" spans="1:2" x14ac:dyDescent="0.25">
      <c r="A72" s="164" t="s">
        <v>315</v>
      </c>
      <c r="B72" s="157">
        <f>IF(VLOOKUP(4,'7. Паспорт отчет о закупке'!$A$27:$CD$86,52,0)="ПД",VLOOKUP(4,'7. Паспорт отчет о закупке'!$A$27:$CD$86,51,0)/1000,"нд")</f>
        <v>2.3E-2</v>
      </c>
    </row>
    <row r="73" spans="1:2" x14ac:dyDescent="0.25">
      <c r="A73" s="164" t="s">
        <v>436</v>
      </c>
      <c r="B73" s="157">
        <f>IF(VLOOKUP(4,'7. Паспорт отчет о закупке'!$A$27:$CD$86,52,0)="ПД",VLOOKUP(4,'7. Паспорт отчет о закупке'!$A$27:$CD$86,50,0)/1000,"нд")</f>
        <v>1.916667E-2</v>
      </c>
    </row>
    <row r="74" spans="1:2" ht="30" x14ac:dyDescent="0.25">
      <c r="A74" s="164" t="s">
        <v>432</v>
      </c>
      <c r="B74" s="157">
        <f>IF(VLOOKUP(5,'7. Паспорт отчет о закупке'!$A$27:$CD$86,52,0)="ПД",VLOOKUP(5,'7. Паспорт отчет о закупке'!$A$27:$CD$86,30,0)/1000,"нд")</f>
        <v>4.3200000000000001E-3</v>
      </c>
    </row>
    <row r="75" spans="1:2" x14ac:dyDescent="0.25">
      <c r="A75" s="164" t="s">
        <v>314</v>
      </c>
      <c r="B75" s="157">
        <f>IF(B74="нд","нд",$B74/$B$27*100)</f>
        <v>6.9982259821127286</v>
      </c>
    </row>
    <row r="76" spans="1:2" x14ac:dyDescent="0.25">
      <c r="A76" s="164" t="s">
        <v>315</v>
      </c>
      <c r="B76" s="157">
        <f>IF(VLOOKUP(5,'7. Паспорт отчет о закупке'!$A$27:$CD$86,52,0)="ПД",VLOOKUP(5,'7. Паспорт отчет о закупке'!$A$27:$CD$86,51,0)/1000,"нд")</f>
        <v>4.3200000000000001E-3</v>
      </c>
    </row>
    <row r="77" spans="1:2" x14ac:dyDescent="0.25">
      <c r="A77" s="164" t="s">
        <v>436</v>
      </c>
      <c r="B77" s="157">
        <f>IF(VLOOKUP(5,'7. Паспорт отчет о закупке'!$A$27:$CD$86,52,0)="ПД",VLOOKUP(5,'7. Паспорт отчет о закупке'!$A$27:$CD$86,50,0)/1000,"нд")</f>
        <v>3.5999999999999999E-3</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92.287491659232387</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5.8880520000000006E-2</v>
      </c>
    </row>
    <row r="90" spans="1:7" x14ac:dyDescent="0.25">
      <c r="A90" s="154" t="s">
        <v>435</v>
      </c>
      <c r="B90" s="167">
        <f>IFERROR(SUM(B91*1.2/$B$27*100),0)</f>
        <v>101.54173186329547</v>
      </c>
    </row>
    <row r="91" spans="1:7" x14ac:dyDescent="0.25">
      <c r="A91" s="154" t="s">
        <v>440</v>
      </c>
      <c r="B91" s="167">
        <f>'6.2. Паспорт фин осв ввод'!D34-'6.2. Паспорт фин осв ввод'!E34</f>
        <v>5.2234699999999995E-2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"ЧИП и ДИП", ТМЦ, Поставка коробки испытательной, договор № счет №13874112 от 04.09.2024
АО "ТД "Электротехмонтаж", ТМЦ, Поставка силового кабеля, договор № счет №602/4419472 от 05.09.2024
ООО "Электрокомплект", ТМЦ, Поставка счетчика ПСЧ, договор № УПД №1386 от 21.11.2024
ООО «ЭТМ» , ТМЦ, Поставка силового ящика, договор № УПД №602/4420313 от 09.12.2024
ООО "Электрокомплект", ТМЦ, Поставка трансформатора тока ТОП-0,66, договор № УПД №1481 от 10.12.2024
ООО "ПТК", ТМЦ, Поставка гаражного оборудования, договор № счет №277 от 19.12.2024, УПД №171 от 24.12.2024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коробки испытательной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30.09.2024
30.09.2024
10.12.2024
10.12.2024
17.12.2024
24.12.2024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O_00.0099.000099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315" x14ac:dyDescent="0.2">
      <c r="A22" s="316" t="s">
        <v>63</v>
      </c>
      <c r="B22" s="317" t="s">
        <v>558</v>
      </c>
      <c r="C22" s="315" t="s">
        <v>424</v>
      </c>
      <c r="D22" s="315" t="s">
        <v>569</v>
      </c>
      <c r="E22" s="315" t="s">
        <v>570</v>
      </c>
      <c r="F22" s="315" t="s">
        <v>571</v>
      </c>
      <c r="G22" s="137" t="s">
        <v>372</v>
      </c>
      <c r="H22" s="138">
        <v>4.6699999999999998E-2</v>
      </c>
      <c r="I22" s="138">
        <v>1.4E-2</v>
      </c>
      <c r="J22" s="138">
        <v>3.27E-2</v>
      </c>
      <c r="K22" s="138">
        <v>0.4</v>
      </c>
      <c r="L22" s="138">
        <v>3</v>
      </c>
      <c r="M22" s="138" t="s">
        <v>424</v>
      </c>
      <c r="N22" s="138" t="s">
        <v>424</v>
      </c>
      <c r="O22" s="138" t="s">
        <v>424</v>
      </c>
      <c r="P22" s="138" t="s">
        <v>424</v>
      </c>
      <c r="Q22" s="139" t="s">
        <v>424</v>
      </c>
      <c r="R22" s="139" t="s">
        <v>568</v>
      </c>
      <c r="S22" s="138">
        <v>1.24935313</v>
      </c>
      <c r="T22" s="26"/>
      <c r="U22" s="26"/>
      <c r="V22" s="26"/>
      <c r="W22" s="26"/>
      <c r="X22" s="26"/>
      <c r="Y22" s="26"/>
      <c r="Z22" s="25"/>
      <c r="AA22" s="25"/>
      <c r="AB22" s="25"/>
    </row>
    <row r="23" spans="1:28" s="2" customFormat="1" ht="60" x14ac:dyDescent="0.2">
      <c r="A23" s="316"/>
      <c r="B23" s="318"/>
      <c r="C23" s="315"/>
      <c r="D23" s="315"/>
      <c r="E23" s="315"/>
      <c r="F23" s="315"/>
      <c r="G23" s="140" t="s">
        <v>559</v>
      </c>
      <c r="H23" s="139">
        <v>4.6699999999999998E-2</v>
      </c>
      <c r="I23" s="139">
        <v>1.4E-2</v>
      </c>
      <c r="J23" s="139">
        <v>3.27E-2</v>
      </c>
      <c r="K23" s="139">
        <v>0.4</v>
      </c>
      <c r="L23" s="139">
        <v>3</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4.6699999999999998E-2</v>
      </c>
      <c r="I37" s="139">
        <f t="shared" ref="I37:J37" si="0">SUMIFS(I$22:I$36,$G$22:$G$36,"Всего по всем точкам присоединения, 
в том числе:")</f>
        <v>1.4E-2</v>
      </c>
      <c r="J37" s="139">
        <f t="shared" si="0"/>
        <v>3.27E-2</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1.24935313</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O_00.0099.000099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O_00.0099.000099</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O_00.0099.000099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45595</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O_00.0099.000099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O_00.0099.000099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O_00.0099.000099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 zoomScale="70" zoomScaleSheetLayoutView="70" workbookViewId="0">
      <selection activeCell="I34" sqref="I3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O_00.0099.000099</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v>45595</v>
      </c>
      <c r="D25" s="285">
        <v>45646</v>
      </c>
      <c r="E25" s="285">
        <v>45595</v>
      </c>
      <c r="F25" s="285">
        <v>45646</v>
      </c>
      <c r="G25" s="286">
        <v>1</v>
      </c>
      <c r="H25" s="286" t="s">
        <v>424</v>
      </c>
      <c r="I25" s="280" t="s">
        <v>553</v>
      </c>
      <c r="J25" s="280" t="s">
        <v>424</v>
      </c>
      <c r="L25" s="246"/>
      <c r="N25" s="238" t="str">
        <f>CONCATENATE($A$12,A25)</f>
        <v>O_00.0099.0000991</v>
      </c>
    </row>
    <row r="26" spans="1:14" x14ac:dyDescent="0.25">
      <c r="A26" s="281" t="s">
        <v>448</v>
      </c>
      <c r="B26" s="281" t="s">
        <v>449</v>
      </c>
      <c r="C26" s="285" t="s">
        <v>424</v>
      </c>
      <c r="D26" s="285" t="s">
        <v>424</v>
      </c>
      <c r="E26" s="285" t="s">
        <v>424</v>
      </c>
      <c r="F26" s="285" t="s">
        <v>424</v>
      </c>
      <c r="G26" s="286" t="s">
        <v>424</v>
      </c>
      <c r="H26" s="286" t="s">
        <v>424</v>
      </c>
      <c r="I26" s="280" t="s">
        <v>518</v>
      </c>
      <c r="J26" s="281" t="s">
        <v>424</v>
      </c>
      <c r="N26" s="238" t="str">
        <f t="shared" ref="N26:N54" si="0">CONCATENATE($A$12,A26)</f>
        <v>O_00.0099.0000991.1.</v>
      </c>
    </row>
    <row r="27" spans="1:14" x14ac:dyDescent="0.25">
      <c r="A27" s="281" t="s">
        <v>450</v>
      </c>
      <c r="B27" s="281" t="s">
        <v>451</v>
      </c>
      <c r="C27" s="285" t="s">
        <v>424</v>
      </c>
      <c r="D27" s="285" t="s">
        <v>424</v>
      </c>
      <c r="E27" s="285" t="s">
        <v>424</v>
      </c>
      <c r="F27" s="285" t="s">
        <v>424</v>
      </c>
      <c r="G27" s="286" t="s">
        <v>424</v>
      </c>
      <c r="H27" s="286" t="s">
        <v>424</v>
      </c>
      <c r="I27" s="280" t="s">
        <v>518</v>
      </c>
      <c r="J27" s="281" t="s">
        <v>424</v>
      </c>
      <c r="N27" s="238" t="str">
        <f t="shared" si="0"/>
        <v>O_00.0099.0000991.2.</v>
      </c>
    </row>
    <row r="28" spans="1:14" ht="31.5" x14ac:dyDescent="0.25">
      <c r="A28" s="281" t="s">
        <v>452</v>
      </c>
      <c r="B28" s="281" t="s">
        <v>453</v>
      </c>
      <c r="C28" s="285" t="s">
        <v>424</v>
      </c>
      <c r="D28" s="285" t="s">
        <v>424</v>
      </c>
      <c r="E28" s="285" t="s">
        <v>424</v>
      </c>
      <c r="F28" s="285" t="s">
        <v>424</v>
      </c>
      <c r="G28" s="286" t="s">
        <v>424</v>
      </c>
      <c r="H28" s="286" t="s">
        <v>424</v>
      </c>
      <c r="I28" s="280" t="s">
        <v>518</v>
      </c>
      <c r="J28" s="281" t="s">
        <v>424</v>
      </c>
      <c r="N28" s="238" t="str">
        <f t="shared" si="0"/>
        <v>O_00.0099.0000991.2.1.</v>
      </c>
    </row>
    <row r="29" spans="1:14" x14ac:dyDescent="0.25">
      <c r="A29" s="281" t="s">
        <v>454</v>
      </c>
      <c r="B29" s="281" t="s">
        <v>455</v>
      </c>
      <c r="C29" s="285" t="s">
        <v>424</v>
      </c>
      <c r="D29" s="285" t="s">
        <v>424</v>
      </c>
      <c r="E29" s="285" t="s">
        <v>424</v>
      </c>
      <c r="F29" s="285" t="s">
        <v>424</v>
      </c>
      <c r="G29" s="286" t="s">
        <v>424</v>
      </c>
      <c r="H29" s="286" t="s">
        <v>424</v>
      </c>
      <c r="I29" s="280" t="s">
        <v>518</v>
      </c>
      <c r="J29" s="281" t="s">
        <v>424</v>
      </c>
      <c r="N29" s="238" t="str">
        <f t="shared" si="0"/>
        <v>O_00.0099.0000991.3.</v>
      </c>
    </row>
    <row r="30" spans="1:14" x14ac:dyDescent="0.25">
      <c r="A30" s="281" t="s">
        <v>456</v>
      </c>
      <c r="B30" s="281" t="s">
        <v>457</v>
      </c>
      <c r="C30" s="285" t="s">
        <v>424</v>
      </c>
      <c r="D30" s="285" t="s">
        <v>424</v>
      </c>
      <c r="E30" s="285" t="s">
        <v>424</v>
      </c>
      <c r="F30" s="285" t="s">
        <v>424</v>
      </c>
      <c r="G30" s="286" t="s">
        <v>424</v>
      </c>
      <c r="H30" s="286" t="s">
        <v>424</v>
      </c>
      <c r="I30" s="280" t="s">
        <v>518</v>
      </c>
      <c r="J30" s="281" t="s">
        <v>424</v>
      </c>
      <c r="N30" s="238" t="str">
        <f t="shared" si="0"/>
        <v>O_00.0099.0000991.4.</v>
      </c>
    </row>
    <row r="31" spans="1:14" x14ac:dyDescent="0.25">
      <c r="A31" s="281" t="s">
        <v>458</v>
      </c>
      <c r="B31" s="281" t="s">
        <v>459</v>
      </c>
      <c r="C31" s="285" t="s">
        <v>424</v>
      </c>
      <c r="D31" s="285" t="s">
        <v>424</v>
      </c>
      <c r="E31" s="285" t="s">
        <v>424</v>
      </c>
      <c r="F31" s="285" t="s">
        <v>424</v>
      </c>
      <c r="G31" s="286" t="s">
        <v>424</v>
      </c>
      <c r="H31" s="286" t="s">
        <v>424</v>
      </c>
      <c r="I31" s="280" t="s">
        <v>518</v>
      </c>
      <c r="J31" s="281" t="s">
        <v>424</v>
      </c>
      <c r="N31" s="238" t="str">
        <f t="shared" si="0"/>
        <v>O_00.0099.0000991.5.</v>
      </c>
    </row>
    <row r="32" spans="1:14" x14ac:dyDescent="0.25">
      <c r="A32" s="281" t="s">
        <v>460</v>
      </c>
      <c r="B32" s="281" t="s">
        <v>461</v>
      </c>
      <c r="C32" s="285" t="s">
        <v>424</v>
      </c>
      <c r="D32" s="285" t="s">
        <v>424</v>
      </c>
      <c r="E32" s="285" t="s">
        <v>424</v>
      </c>
      <c r="F32" s="285" t="s">
        <v>424</v>
      </c>
      <c r="G32" s="286" t="s">
        <v>424</v>
      </c>
      <c r="H32" s="286" t="s">
        <v>424</v>
      </c>
      <c r="I32" s="280" t="s">
        <v>518</v>
      </c>
      <c r="J32" s="281" t="s">
        <v>424</v>
      </c>
      <c r="N32" s="238" t="str">
        <f t="shared" si="0"/>
        <v>O_00.0099.0000991.6.</v>
      </c>
    </row>
    <row r="33" spans="1:14" ht="31.5" x14ac:dyDescent="0.25">
      <c r="A33" s="281" t="s">
        <v>462</v>
      </c>
      <c r="B33" s="281" t="s">
        <v>463</v>
      </c>
      <c r="C33" s="285" t="s">
        <v>424</v>
      </c>
      <c r="D33" s="285" t="s">
        <v>424</v>
      </c>
      <c r="E33" s="285" t="s">
        <v>424</v>
      </c>
      <c r="F33" s="285" t="s">
        <v>424</v>
      </c>
      <c r="G33" s="286" t="s">
        <v>424</v>
      </c>
      <c r="H33" s="286" t="s">
        <v>424</v>
      </c>
      <c r="I33" s="280" t="s">
        <v>518</v>
      </c>
      <c r="J33" s="281" t="s">
        <v>424</v>
      </c>
      <c r="N33" s="238" t="str">
        <f t="shared" si="0"/>
        <v>O_00.0099.0000991.7.</v>
      </c>
    </row>
    <row r="34" spans="1:14" ht="31.5" x14ac:dyDescent="0.25">
      <c r="A34" s="281" t="s">
        <v>464</v>
      </c>
      <c r="B34" s="281" t="s">
        <v>465</v>
      </c>
      <c r="C34" s="285" t="s">
        <v>424</v>
      </c>
      <c r="D34" s="285" t="s">
        <v>424</v>
      </c>
      <c r="E34" s="285" t="s">
        <v>424</v>
      </c>
      <c r="F34" s="285" t="s">
        <v>424</v>
      </c>
      <c r="G34" s="286" t="s">
        <v>424</v>
      </c>
      <c r="H34" s="286" t="s">
        <v>424</v>
      </c>
      <c r="I34" s="280" t="s">
        <v>518</v>
      </c>
      <c r="J34" s="281" t="s">
        <v>424</v>
      </c>
      <c r="N34" s="238" t="str">
        <f t="shared" si="0"/>
        <v>O_00.0099.0000991.8.</v>
      </c>
    </row>
    <row r="35" spans="1:14" x14ac:dyDescent="0.25">
      <c r="A35" s="281" t="s">
        <v>466</v>
      </c>
      <c r="B35" s="281" t="s">
        <v>467</v>
      </c>
      <c r="C35" s="285" t="s">
        <v>424</v>
      </c>
      <c r="D35" s="285" t="s">
        <v>424</v>
      </c>
      <c r="E35" s="285" t="s">
        <v>424</v>
      </c>
      <c r="F35" s="285" t="s">
        <v>424</v>
      </c>
      <c r="G35" s="286" t="s">
        <v>424</v>
      </c>
      <c r="H35" s="286" t="s">
        <v>424</v>
      </c>
      <c r="I35" s="280" t="s">
        <v>518</v>
      </c>
      <c r="J35" s="281" t="s">
        <v>424</v>
      </c>
      <c r="N35" s="238" t="str">
        <f t="shared" si="0"/>
        <v>O_00.0099.0000991.9.</v>
      </c>
    </row>
    <row r="36" spans="1:14" x14ac:dyDescent="0.25">
      <c r="A36" s="281" t="s">
        <v>468</v>
      </c>
      <c r="B36" s="281" t="s">
        <v>469</v>
      </c>
      <c r="C36" s="285" t="s">
        <v>424</v>
      </c>
      <c r="D36" s="285" t="s">
        <v>424</v>
      </c>
      <c r="E36" s="285" t="s">
        <v>424</v>
      </c>
      <c r="F36" s="285" t="s">
        <v>424</v>
      </c>
      <c r="G36" s="286" t="s">
        <v>424</v>
      </c>
      <c r="H36" s="286" t="s">
        <v>424</v>
      </c>
      <c r="I36" s="280" t="s">
        <v>518</v>
      </c>
      <c r="J36" s="281" t="s">
        <v>424</v>
      </c>
      <c r="N36" s="238" t="str">
        <f t="shared" si="0"/>
        <v>O_00.0099.0000991.10.</v>
      </c>
    </row>
    <row r="37" spans="1:14" x14ac:dyDescent="0.25">
      <c r="A37" s="281" t="s">
        <v>470</v>
      </c>
      <c r="B37" s="281" t="s">
        <v>471</v>
      </c>
      <c r="C37" s="285">
        <v>45595</v>
      </c>
      <c r="D37" s="285">
        <v>45646</v>
      </c>
      <c r="E37" s="285">
        <v>45595</v>
      </c>
      <c r="F37" s="285">
        <v>45646</v>
      </c>
      <c r="G37" s="286">
        <v>1</v>
      </c>
      <c r="H37" s="286" t="s">
        <v>424</v>
      </c>
      <c r="I37" s="280" t="s">
        <v>518</v>
      </c>
      <c r="J37" s="281" t="s">
        <v>424</v>
      </c>
      <c r="N37" s="238" t="str">
        <f t="shared" si="0"/>
        <v>O_00.0099.0000991.11.</v>
      </c>
    </row>
    <row r="38" spans="1:14" x14ac:dyDescent="0.25">
      <c r="A38" s="280">
        <v>2</v>
      </c>
      <c r="B38" s="280" t="s">
        <v>509</v>
      </c>
      <c r="C38" s="285">
        <v>45595</v>
      </c>
      <c r="D38" s="285">
        <v>45626</v>
      </c>
      <c r="E38" s="285">
        <v>45595</v>
      </c>
      <c r="F38" s="285">
        <v>45626</v>
      </c>
      <c r="G38" s="286">
        <v>1</v>
      </c>
      <c r="H38" s="286" t="s">
        <v>424</v>
      </c>
      <c r="I38" s="280" t="s">
        <v>553</v>
      </c>
      <c r="J38" s="280" t="s">
        <v>424</v>
      </c>
      <c r="N38" s="238" t="str">
        <f t="shared" si="0"/>
        <v>O_00.0099.0000992</v>
      </c>
    </row>
    <row r="39" spans="1:14" ht="173.25" customHeight="1" x14ac:dyDescent="0.25">
      <c r="A39" s="282" t="s">
        <v>472</v>
      </c>
      <c r="B39" s="281" t="s">
        <v>473</v>
      </c>
      <c r="C39" s="285" t="s">
        <v>424</v>
      </c>
      <c r="D39" s="285" t="s">
        <v>424</v>
      </c>
      <c r="E39" s="285" t="s">
        <v>424</v>
      </c>
      <c r="F39" s="285" t="s">
        <v>424</v>
      </c>
      <c r="G39" s="286" t="s">
        <v>424</v>
      </c>
      <c r="H39" s="286" t="s">
        <v>424</v>
      </c>
      <c r="I39" s="280" t="s">
        <v>518</v>
      </c>
      <c r="J39" s="281" t="s">
        <v>424</v>
      </c>
      <c r="N39" s="238" t="str">
        <f t="shared" si="0"/>
        <v>O_00.0099.0000992.1.</v>
      </c>
    </row>
    <row r="40" spans="1:14" x14ac:dyDescent="0.25">
      <c r="A40" s="282" t="s">
        <v>474</v>
      </c>
      <c r="B40" s="281" t="s">
        <v>475</v>
      </c>
      <c r="C40" s="285">
        <v>45595</v>
      </c>
      <c r="D40" s="285">
        <v>45626</v>
      </c>
      <c r="E40" s="285">
        <v>45595</v>
      </c>
      <c r="F40" s="285">
        <v>45626</v>
      </c>
      <c r="G40" s="286">
        <v>1</v>
      </c>
      <c r="H40" s="286" t="s">
        <v>424</v>
      </c>
      <c r="I40" s="280" t="s">
        <v>518</v>
      </c>
      <c r="J40" s="281" t="s">
        <v>424</v>
      </c>
      <c r="N40" s="238" t="str">
        <f t="shared" si="0"/>
        <v>O_00.0099.0000992.2.</v>
      </c>
    </row>
    <row r="41" spans="1:14" x14ac:dyDescent="0.25">
      <c r="A41" s="280">
        <v>3</v>
      </c>
      <c r="B41" s="280" t="s">
        <v>476</v>
      </c>
      <c r="C41" s="285">
        <v>45626</v>
      </c>
      <c r="D41" s="285">
        <v>45647</v>
      </c>
      <c r="E41" s="285">
        <v>45626</v>
      </c>
      <c r="F41" s="285">
        <v>45647</v>
      </c>
      <c r="G41" s="286">
        <v>1</v>
      </c>
      <c r="H41" s="286" t="s">
        <v>424</v>
      </c>
      <c r="I41" s="280" t="s">
        <v>553</v>
      </c>
      <c r="J41" s="280" t="s">
        <v>424</v>
      </c>
      <c r="N41" s="238" t="str">
        <f t="shared" si="0"/>
        <v>O_00.0099.0000993</v>
      </c>
    </row>
    <row r="42" spans="1:14" x14ac:dyDescent="0.25">
      <c r="A42" s="281" t="s">
        <v>477</v>
      </c>
      <c r="B42" s="281" t="s">
        <v>478</v>
      </c>
      <c r="C42" s="285" t="s">
        <v>424</v>
      </c>
      <c r="D42" s="285" t="s">
        <v>424</v>
      </c>
      <c r="E42" s="285" t="s">
        <v>424</v>
      </c>
      <c r="F42" s="285" t="s">
        <v>424</v>
      </c>
      <c r="G42" s="286" t="s">
        <v>424</v>
      </c>
      <c r="H42" s="286" t="s">
        <v>424</v>
      </c>
      <c r="I42" s="280" t="s">
        <v>518</v>
      </c>
      <c r="J42" s="281" t="s">
        <v>424</v>
      </c>
      <c r="N42" s="238" t="str">
        <f t="shared" si="0"/>
        <v>O_00.0099.0000993.1.</v>
      </c>
    </row>
    <row r="43" spans="1:14" x14ac:dyDescent="0.25">
      <c r="A43" s="281" t="s">
        <v>479</v>
      </c>
      <c r="B43" s="281" t="s">
        <v>480</v>
      </c>
      <c r="C43" s="285">
        <v>45626</v>
      </c>
      <c r="D43" s="285">
        <v>45641</v>
      </c>
      <c r="E43" s="285">
        <v>45626</v>
      </c>
      <c r="F43" s="285">
        <v>45641</v>
      </c>
      <c r="G43" s="286">
        <v>1</v>
      </c>
      <c r="H43" s="286" t="s">
        <v>424</v>
      </c>
      <c r="I43" s="280" t="s">
        <v>518</v>
      </c>
      <c r="J43" s="281" t="s">
        <v>424</v>
      </c>
      <c r="N43" s="238" t="str">
        <f t="shared" si="0"/>
        <v>O_00.0099.0000993.2.</v>
      </c>
    </row>
    <row r="44" spans="1:14" x14ac:dyDescent="0.25">
      <c r="A44" s="281" t="s">
        <v>481</v>
      </c>
      <c r="B44" s="281" t="s">
        <v>482</v>
      </c>
      <c r="C44" s="285">
        <v>45641</v>
      </c>
      <c r="D44" s="285">
        <v>45646</v>
      </c>
      <c r="E44" s="285">
        <v>45641</v>
      </c>
      <c r="F44" s="285">
        <v>45646</v>
      </c>
      <c r="G44" s="286">
        <v>1</v>
      </c>
      <c r="H44" s="286" t="s">
        <v>424</v>
      </c>
      <c r="I44" s="280" t="s">
        <v>518</v>
      </c>
      <c r="J44" s="281" t="s">
        <v>424</v>
      </c>
      <c r="N44" s="238" t="str">
        <f t="shared" si="0"/>
        <v>O_00.0099.0000993.3.</v>
      </c>
    </row>
    <row r="45" spans="1:14" ht="31.5" x14ac:dyDescent="0.25">
      <c r="A45" s="281" t="s">
        <v>483</v>
      </c>
      <c r="B45" s="281" t="s">
        <v>484</v>
      </c>
      <c r="C45" s="285" t="s">
        <v>424</v>
      </c>
      <c r="D45" s="285" t="s">
        <v>424</v>
      </c>
      <c r="E45" s="285" t="s">
        <v>424</v>
      </c>
      <c r="F45" s="285" t="s">
        <v>424</v>
      </c>
      <c r="G45" s="286" t="s">
        <v>424</v>
      </c>
      <c r="H45" s="286" t="s">
        <v>424</v>
      </c>
      <c r="I45" s="280" t="s">
        <v>518</v>
      </c>
      <c r="J45" s="281" t="s">
        <v>424</v>
      </c>
      <c r="N45" s="238" t="str">
        <f t="shared" si="0"/>
        <v>O_00.0099.0000993.4.</v>
      </c>
    </row>
    <row r="46" spans="1:14" ht="63" x14ac:dyDescent="0.25">
      <c r="A46" s="281" t="s">
        <v>485</v>
      </c>
      <c r="B46" s="281" t="s">
        <v>486</v>
      </c>
      <c r="C46" s="285" t="s">
        <v>424</v>
      </c>
      <c r="D46" s="285" t="s">
        <v>424</v>
      </c>
      <c r="E46" s="285" t="s">
        <v>424</v>
      </c>
      <c r="F46" s="285" t="s">
        <v>424</v>
      </c>
      <c r="G46" s="286" t="s">
        <v>424</v>
      </c>
      <c r="H46" s="286" t="s">
        <v>424</v>
      </c>
      <c r="I46" s="280" t="s">
        <v>518</v>
      </c>
      <c r="J46" s="281" t="s">
        <v>424</v>
      </c>
      <c r="N46" s="238" t="str">
        <f t="shared" si="0"/>
        <v>O_00.0099.0000993.5.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O_00.0099.0000993.6.</v>
      </c>
    </row>
    <row r="48" spans="1:14" x14ac:dyDescent="0.25">
      <c r="A48" s="280">
        <v>4</v>
      </c>
      <c r="B48" s="280" t="s">
        <v>489</v>
      </c>
      <c r="C48" s="285">
        <v>45647</v>
      </c>
      <c r="D48" s="285">
        <v>45653</v>
      </c>
      <c r="E48" s="285">
        <v>45647</v>
      </c>
      <c r="F48" s="285">
        <v>45653</v>
      </c>
      <c r="G48" s="286">
        <v>1</v>
      </c>
      <c r="H48" s="286" t="s">
        <v>424</v>
      </c>
      <c r="I48" s="280" t="s">
        <v>553</v>
      </c>
      <c r="J48" s="280" t="s">
        <v>424</v>
      </c>
      <c r="N48" s="238" t="str">
        <f t="shared" si="0"/>
        <v>O_00.0099.0000994</v>
      </c>
    </row>
    <row r="49" spans="1:14" x14ac:dyDescent="0.25">
      <c r="A49" s="281" t="s">
        <v>490</v>
      </c>
      <c r="B49" s="281" t="s">
        <v>491</v>
      </c>
      <c r="C49" s="285">
        <v>45647</v>
      </c>
      <c r="D49" s="285">
        <v>45650</v>
      </c>
      <c r="E49" s="285">
        <v>45647</v>
      </c>
      <c r="F49" s="285">
        <v>45650</v>
      </c>
      <c r="G49" s="286">
        <v>1</v>
      </c>
      <c r="H49" s="286" t="s">
        <v>424</v>
      </c>
      <c r="I49" s="280" t="s">
        <v>518</v>
      </c>
      <c r="J49" s="281" t="s">
        <v>424</v>
      </c>
      <c r="N49" s="238" t="str">
        <f t="shared" si="0"/>
        <v>O_00.0099.0000994.1.</v>
      </c>
    </row>
    <row r="50" spans="1:14" ht="47.25" x14ac:dyDescent="0.25">
      <c r="A50" s="281" t="s">
        <v>492</v>
      </c>
      <c r="B50" s="281" t="s">
        <v>493</v>
      </c>
      <c r="C50" s="285" t="s">
        <v>424</v>
      </c>
      <c r="D50" s="285" t="s">
        <v>424</v>
      </c>
      <c r="E50" s="285" t="s">
        <v>424</v>
      </c>
      <c r="F50" s="285" t="s">
        <v>424</v>
      </c>
      <c r="G50" s="286" t="s">
        <v>424</v>
      </c>
      <c r="H50" s="286" t="s">
        <v>424</v>
      </c>
      <c r="I50" s="280" t="s">
        <v>518</v>
      </c>
      <c r="J50" s="281" t="s">
        <v>424</v>
      </c>
      <c r="N50" s="238" t="str">
        <f t="shared" si="0"/>
        <v>O_00.0099.0000994.2.</v>
      </c>
    </row>
    <row r="51" spans="1:14" ht="31.5" x14ac:dyDescent="0.25">
      <c r="A51" s="281" t="s">
        <v>494</v>
      </c>
      <c r="B51" s="281" t="s">
        <v>495</v>
      </c>
      <c r="C51" s="285" t="s">
        <v>424</v>
      </c>
      <c r="D51" s="285" t="s">
        <v>424</v>
      </c>
      <c r="E51" s="285" t="s">
        <v>424</v>
      </c>
      <c r="F51" s="285" t="s">
        <v>424</v>
      </c>
      <c r="G51" s="286" t="s">
        <v>424</v>
      </c>
      <c r="H51" s="286" t="s">
        <v>424</v>
      </c>
      <c r="I51" s="280" t="s">
        <v>518</v>
      </c>
      <c r="J51" s="281" t="s">
        <v>424</v>
      </c>
      <c r="N51" s="238" t="str">
        <f t="shared" si="0"/>
        <v>O_00.0099.0000994.3.</v>
      </c>
    </row>
    <row r="52" spans="1:14" ht="31.5" x14ac:dyDescent="0.25">
      <c r="A52" s="283" t="s">
        <v>496</v>
      </c>
      <c r="B52" s="281" t="s">
        <v>497</v>
      </c>
      <c r="C52" s="285" t="s">
        <v>424</v>
      </c>
      <c r="D52" s="285" t="s">
        <v>424</v>
      </c>
      <c r="E52" s="285" t="s">
        <v>424</v>
      </c>
      <c r="F52" s="285" t="s">
        <v>424</v>
      </c>
      <c r="G52" s="286" t="s">
        <v>424</v>
      </c>
      <c r="H52" s="286" t="s">
        <v>424</v>
      </c>
      <c r="I52" s="280" t="s">
        <v>518</v>
      </c>
      <c r="J52" s="281" t="s">
        <v>424</v>
      </c>
      <c r="N52" s="238" t="str">
        <f t="shared" si="0"/>
        <v>O_00.0099.0000994.4.</v>
      </c>
    </row>
    <row r="53" spans="1:14" x14ac:dyDescent="0.25">
      <c r="A53" s="281" t="s">
        <v>498</v>
      </c>
      <c r="B53" s="284" t="s">
        <v>499</v>
      </c>
      <c r="C53" s="285">
        <v>45650</v>
      </c>
      <c r="D53" s="285">
        <v>45653</v>
      </c>
      <c r="E53" s="285">
        <v>45650</v>
      </c>
      <c r="F53" s="285">
        <v>45653</v>
      </c>
      <c r="G53" s="286">
        <v>1</v>
      </c>
      <c r="H53" s="286" t="s">
        <v>424</v>
      </c>
      <c r="I53" s="280" t="s">
        <v>518</v>
      </c>
      <c r="J53" s="281" t="s">
        <v>424</v>
      </c>
      <c r="N53" s="238" t="str">
        <f t="shared" si="0"/>
        <v>O_00.0099.0000994.5.</v>
      </c>
    </row>
    <row r="54" spans="1:14" x14ac:dyDescent="0.25">
      <c r="A54" s="281" t="s">
        <v>500</v>
      </c>
      <c r="B54" s="281" t="s">
        <v>501</v>
      </c>
      <c r="C54" s="285" t="s">
        <v>424</v>
      </c>
      <c r="D54" s="285" t="s">
        <v>424</v>
      </c>
      <c r="E54" s="285" t="s">
        <v>424</v>
      </c>
      <c r="F54" s="285" t="s">
        <v>424</v>
      </c>
      <c r="G54" s="286" t="s">
        <v>424</v>
      </c>
      <c r="H54" s="286" t="s">
        <v>424</v>
      </c>
      <c r="I54" s="280" t="s">
        <v>518</v>
      </c>
      <c r="J54" s="281" t="s">
        <v>424</v>
      </c>
      <c r="N54" s="238" t="str">
        <f t="shared" si="0"/>
        <v>O_00.0099.0000994.6.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2025-11-11T09:34:53Z</dcterms:modified>
</cp:coreProperties>
</file>